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w75zAp3bnXGjRPt/bRVxgJKpOuUzlXR/03hqmotjIttAuw0z5Na3KgD35shYRASYOzI+6s4u/263H2DApClLyw==" workbookSaltValue="zm8amqpsDROyF/Ws2Onz5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BD15" i="13"/>
  <c r="BG15" i="8"/>
  <c r="R8" i="9"/>
  <c r="BH11" i="16" s="1"/>
  <c r="BF16" i="13"/>
  <c r="B12" i="6"/>
  <c r="BH17" i="16"/>
  <c r="BF17" i="11"/>
  <c r="BK15" i="11"/>
  <c r="V9" i="11"/>
  <c r="BG9" i="11"/>
  <c r="AP17"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W9" i="20" l="1"/>
  <c r="BH17" i="11"/>
  <c r="R10" i="21"/>
  <c r="BI10" i="11"/>
  <c r="S17" i="16"/>
  <c r="S18" i="16" s="1"/>
  <c r="BM16"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<sst xmlns="http://schemas.openxmlformats.org/spreadsheetml/2006/main" count="2094" uniqueCount="912">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</sst>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R9r7n6JjLUzmeUatMqvVpMIPinTBoRapM6tQ8ntOVIYItwnQxQ4KB93a9mrHkeEisKt0aD0+HBpck8yo8mesA==" saltValue="2mxZkkbSidt45J+XwWSx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21.804089709762533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52</v>
      </c>
      <c r="D10" s="229">
        <f>IF(ISNUMBER(Datos!I10),Datos!I10," - ")</f>
        <v>52</v>
      </c>
      <c r="E10" s="230">
        <f>IF(ISNUMBER(Datos!J10),Datos!J10," - ")</f>
        <v>49</v>
      </c>
      <c r="F10" s="230">
        <f>IF(ISNUMBER(Datos!K10),Datos!K10," - ")</f>
        <v>21</v>
      </c>
      <c r="G10" s="1189" t="str">
        <f>IF(Datos!E10&lt;&gt;"",Datos!E10,Datos!D10)</f>
        <v>37</v>
      </c>
      <c r="H10" s="231">
        <f>IF(ISNUMBER(Datos!L10),Datos!L10," - ")</f>
        <v>80</v>
      </c>
      <c r="I10" s="1199" t="str">
        <f>IF(ISNUMBER(Datos!AS10/Datos!BM10),Datos!AS10/Datos!BM10," - ")</f>
        <v xml:space="preserve"> - </v>
      </c>
      <c r="J10" s="1200">
        <f>IF(ISNUMBER(Datos!BY10/Datos!CN10),Datos!BY10/Datos!CN10," - ")</f>
        <v>0</v>
      </c>
      <c r="K10" s="234">
        <f t="shared" ref="K10:K12" si="1">IF(ISNUMBER((E10-F10)/C10),(E10-F10)/C10," - ")</f>
        <v>0.53846153846153844</v>
      </c>
      <c r="L10" s="1201">
        <f>IF(ISNUMBER(NºAsuntos!I10/NºAsuntos!G10),(NºAsuntos!I10/NºAsuntos!G10)*11," - ")</f>
        <v>41.904761904761905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52</v>
      </c>
      <c r="D13" s="1206">
        <f>SUBTOTAL(9,D9:D12)</f>
        <v>52</v>
      </c>
      <c r="E13" s="1207">
        <f>SUBTOTAL(9,E9:E12)</f>
        <v>49</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1088</v>
      </c>
      <c r="D15" s="229">
        <f>IF(ISNUMBER(IF(D_I="SI",Datos!I15,Datos!I15+Datos!AC15)),IF(D_I="SI",Datos!I15,Datos!I15+Datos!AC15)," - ")</f>
        <v>1083</v>
      </c>
      <c r="E15" s="230">
        <f>IF(ISNUMBER(IF(D_I="SI",Datos!J15,Datos!J15+Datos!AD15)),IF(D_I="SI",Datos!J15,Datos!J15+Datos!AD15)," - ")</f>
        <v>1536</v>
      </c>
      <c r="F15" s="230">
        <f>IF(ISNUMBER(IF(D_I="SI",Datos!K15,Datos!K15+Datos!AE15)),IF(D_I="SI",Datos!K15,Datos!K15+Datos!AE15)," - ")</f>
        <v>1320</v>
      </c>
      <c r="G15" s="1189" t="str">
        <f>IF(Datos!E15&lt;&gt;"",Datos!E15,Datos!D15)</f>
        <v>03</v>
      </c>
      <c r="H15" s="231">
        <f>IF(ISNUMBER(IF(D_I="SI",Datos!L15,Datos!L15+Datos!AF15)),IF(D_I="SI",Datos!L15,Datos!L15+Datos!AF15)," - ")</f>
        <v>1304</v>
      </c>
      <c r="I15" s="1199" t="str">
        <f>IF(ISNUMBER(Datos!AS15/Datos!BM15),Datos!AS15/Datos!BM15," - ")</f>
        <v xml:space="preserve"> - </v>
      </c>
      <c r="J15" s="1200">
        <f>IF(ISNUMBER(Datos!BY15/Datos!CN15),Datos!BY15/Datos!CN15," - ")</f>
        <v>0</v>
      </c>
      <c r="K15" s="234">
        <f t="shared" ref="K15:K17" si="3">IF(ISNUMBER((E15-F15)/C15),(E15-F15)/C15," - ")</f>
        <v>0.19852941176470587</v>
      </c>
      <c r="L15" s="1201">
        <f>IF(ISNUMBER(NºAsuntos!I15/NºAsuntos!G15),(NºAsuntos!I15/NºAsuntos!G15)*11," - ")</f>
        <v>10.866666666666667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127</v>
      </c>
      <c r="D17" s="229">
        <f>IF(ISNUMBER(IF(D_I="SI",Datos!I17,Datos!I17+Datos!AC17)),IF(D_I="SI",Datos!I17,Datos!I17+Datos!AC17)," - ")</f>
        <v>127</v>
      </c>
      <c r="E17" s="230">
        <f>IF(ISNUMBER(IF(D_I="SI",Datos!J17,Datos!J17+Datos!AD17)),IF(D_I="SI",Datos!J17,Datos!J17+Datos!AD17)," - ")</f>
        <v>447</v>
      </c>
      <c r="F17" s="230">
        <f>IF(ISNUMBER(IF(D_I="SI",Datos!K17,Datos!K17+Datos!AE17)),IF(D_I="SI",Datos!K17,Datos!K17+Datos!AE17)," - ")</f>
        <v>438</v>
      </c>
      <c r="G17" s="1189" t="str">
        <f>IF(Datos!E17&lt;&gt;"",Datos!E17,Datos!D17)</f>
        <v>37</v>
      </c>
      <c r="H17" s="231">
        <f>IF(ISNUMBER(IF(D_I="SI",Datos!L17,Datos!L17+Datos!AF17)),IF(D_I="SI",Datos!L17,Datos!L17+Datos!AF17)," - ")</f>
        <v>136</v>
      </c>
      <c r="I17" s="1199" t="str">
        <f>IF(ISNUMBER(Datos!AS17/Datos!BM17),Datos!AS17/Datos!BM17," - ")</f>
        <v xml:space="preserve"> - </v>
      </c>
      <c r="J17" s="1200" t="str">
        <f>IF(ISNUMBER((Datos!BY17+Datos!BZ17)/Datos!CN17),(Datos!BY17+Datos!BZ17)/Datos!CN17," - ")</f>
        <v xml:space="preserve"> - </v>
      </c>
      <c r="K17" s="234">
        <f t="shared" si="3"/>
        <v>7.0866141732283464E-2</v>
      </c>
      <c r="L17" s="1201">
        <f>IF(ISNUMBER(NºAsuntos!I17/NºAsuntos!G17),(NºAsuntos!I17/NºAsuntos!G17)*11," - ")</f>
        <v>3.4155251141552512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1215</v>
      </c>
      <c r="D18" s="1206">
        <f>SUBTOTAL(9,D15:D17)</f>
        <v>1210</v>
      </c>
      <c r="E18" s="1207">
        <f>SUBTOTAL(9,E15:E17)</f>
        <v>1983</v>
      </c>
      <c r="F18" s="1207">
        <f>SUBTOTAL(9,F15:F17)</f>
        <v>1758</v>
      </c>
      <c r="G18" s="1209" t="str">
        <f ca="1">INDIRECT(CONCATENATE("G",ROW()-1))</f>
        <v>37</v>
      </c>
      <c r="H18" s="1210">
        <f ca="1">SUMIF(G$14:G17,G18,H$14:H17)</f>
        <v>136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1267</v>
      </c>
      <c r="D19" s="1228">
        <f>SUBTOTAL(9,D9:D18)</f>
        <v>1262</v>
      </c>
      <c r="E19" s="1229">
        <f>SUBTOTAL(9,E9:E18)</f>
        <v>2032</v>
      </c>
      <c r="F19" s="1229">
        <f>SUBTOTAL(9,F9:F18)</f>
        <v>1779</v>
      </c>
      <c r="G19" s="1230"/>
      <c r="H19" s="1231">
        <f ca="1">SUMIF(B9:B18,"TOTAL",H9:H18)</f>
        <v>136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z/X03JY4VsZd8w25RnSp7pnN4jGHbPzAu7RoPnHFUWkHms4DdqC9leJAQbgWkLafaRmvcgPSkBg+MKC1b8beA==" saltValue="YLSWC0eH3zPYyHllrd40O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cXwYBsOtuWr84jMS0O9pOgREt7zj5uplFjNXi8/HdHciJkw9kO79TxQiGPXTDUY2g1LWkAx8p1hxCfSfcDQHA==" saltValue="RaLZb3dquSGpW1dv24L9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2579</v>
      </c>
      <c r="J9" s="185">
        <v>1581</v>
      </c>
      <c r="K9" s="185">
        <v>1343</v>
      </c>
      <c r="L9" s="185">
        <v>2817</v>
      </c>
      <c r="M9" s="185">
        <v>394</v>
      </c>
      <c r="N9" s="185">
        <v>506</v>
      </c>
      <c r="O9" s="185">
        <v>515</v>
      </c>
      <c r="P9" s="185">
        <v>338</v>
      </c>
      <c r="Q9" s="185">
        <v>259</v>
      </c>
      <c r="R9" s="185">
        <v>3231</v>
      </c>
      <c r="S9" s="185">
        <v>0</v>
      </c>
      <c r="T9" s="185">
        <v>0</v>
      </c>
      <c r="U9" s="185">
        <v>0</v>
      </c>
      <c r="V9" s="185">
        <v>0</v>
      </c>
      <c r="W9" s="185">
        <v>0</v>
      </c>
      <c r="X9" s="192">
        <v>0</v>
      </c>
      <c r="Y9" s="195">
        <v>162</v>
      </c>
      <c r="Z9" s="185">
        <v>199</v>
      </c>
      <c r="AA9" s="185">
        <v>173</v>
      </c>
      <c r="AB9" s="185">
        <v>188</v>
      </c>
      <c r="AC9" s="185">
        <v>0</v>
      </c>
      <c r="AD9" s="185">
        <v>0</v>
      </c>
      <c r="AE9" s="185">
        <v>0</v>
      </c>
      <c r="AF9" s="192">
        <v>0</v>
      </c>
      <c r="AG9" s="195">
        <v>0</v>
      </c>
      <c r="AH9" s="185">
        <v>0</v>
      </c>
      <c r="AI9" s="185">
        <v>0</v>
      </c>
      <c r="AJ9" s="196">
        <v>0</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f>IF(ISNUMBER(X9),X9," - ")</f>
        <v>0</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52</v>
      </c>
      <c r="J10" s="185">
        <v>49</v>
      </c>
      <c r="K10" s="185">
        <v>21</v>
      </c>
      <c r="L10" s="185">
        <v>80</v>
      </c>
      <c r="M10" s="185">
        <v>9</v>
      </c>
      <c r="N10" s="185">
        <v>5</v>
      </c>
      <c r="O10" s="185">
        <v>8</v>
      </c>
      <c r="P10" s="185">
        <v>0</v>
      </c>
      <c r="Q10" s="185">
        <v>1</v>
      </c>
      <c r="R10" s="185">
        <v>15</v>
      </c>
      <c r="S10" s="185">
        <v>28</v>
      </c>
      <c r="T10" s="185">
        <v>24</v>
      </c>
      <c r="U10" s="185">
        <v>18</v>
      </c>
      <c r="V10" s="185">
        <v>34</v>
      </c>
      <c r="W10" s="185">
        <v>6</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28</v>
      </c>
      <c r="AZ10" s="130">
        <f t="shared" si="0"/>
        <v>24</v>
      </c>
      <c r="BA10" s="130">
        <f t="shared" si="0"/>
        <v>18</v>
      </c>
      <c r="BB10" s="130">
        <f t="shared" si="0"/>
        <v>34</v>
      </c>
      <c r="BC10" s="126">
        <f t="shared" si="0"/>
        <v>6</v>
      </c>
      <c r="BD10" s="127">
        <f>IF(ISNUMBER(BA10/AZ10),BA10/AZ10," - ")</f>
        <v>0.75</v>
      </c>
      <c r="BE10" s="128">
        <f>IF(ISNUMBER(BB10/BA10),BB10/BA10, " - ")</f>
        <v>1.8888888888888888</v>
      </c>
      <c r="BF10" s="128">
        <f>IF(ISNUMBER(BC10/BA10),BC10/BA10, " - ")</f>
        <v>0.33333333333333331</v>
      </c>
      <c r="BG10" s="200">
        <f>IF(ISNUMBER((AY10+AZ10)/BA10),(AY10+AZ10)/BA10," - ")</f>
        <v>2.8888888888888888</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2631</v>
      </c>
      <c r="J13" s="188">
        <f t="shared" si="6"/>
        <v>1630</v>
      </c>
      <c r="K13" s="188">
        <f t="shared" si="6"/>
        <v>1364</v>
      </c>
      <c r="L13" s="188">
        <f t="shared" si="6"/>
        <v>2897</v>
      </c>
      <c r="M13" s="188">
        <f t="shared" si="6"/>
        <v>403</v>
      </c>
      <c r="N13" s="188">
        <f t="shared" si="6"/>
        <v>511</v>
      </c>
      <c r="O13" s="188">
        <f t="shared" si="6"/>
        <v>523</v>
      </c>
      <c r="P13" s="188">
        <f t="shared" si="6"/>
        <v>338</v>
      </c>
      <c r="Q13" s="188">
        <f t="shared" si="6"/>
        <v>260</v>
      </c>
      <c r="R13" s="188">
        <f t="shared" si="6"/>
        <v>3246</v>
      </c>
      <c r="S13" s="188">
        <f t="shared" si="6"/>
        <v>28</v>
      </c>
      <c r="T13" s="188">
        <f t="shared" si="6"/>
        <v>24</v>
      </c>
      <c r="U13" s="188">
        <f t="shared" si="6"/>
        <v>18</v>
      </c>
      <c r="V13" s="188">
        <f t="shared" si="6"/>
        <v>34</v>
      </c>
      <c r="W13" s="188">
        <f t="shared" si="6"/>
        <v>6</v>
      </c>
      <c r="X13" s="188">
        <f t="shared" si="6"/>
        <v>12</v>
      </c>
      <c r="Y13" s="188">
        <f t="shared" si="6"/>
        <v>162</v>
      </c>
      <c r="Z13" s="188">
        <f t="shared" si="6"/>
        <v>199</v>
      </c>
      <c r="AA13" s="188">
        <f t="shared" si="6"/>
        <v>173</v>
      </c>
      <c r="AB13" s="188">
        <f t="shared" si="6"/>
        <v>188</v>
      </c>
      <c r="AC13" s="188">
        <f t="shared" si="6"/>
        <v>0</v>
      </c>
      <c r="AD13" s="188">
        <f t="shared" si="6"/>
        <v>0</v>
      </c>
      <c r="AE13" s="188">
        <f t="shared" si="6"/>
        <v>0</v>
      </c>
      <c r="AF13" s="188">
        <f>SUBTOTAL(9,AF9:AF12)</f>
        <v>0</v>
      </c>
      <c r="AG13" s="188">
        <f t="shared" ref="AG13:AT13" si="7">SUBTOTAL(9,AG8:AG12)</f>
        <v>0</v>
      </c>
      <c r="AH13" s="188">
        <f t="shared" si="7"/>
        <v>0</v>
      </c>
      <c r="AI13" s="188">
        <f t="shared" si="7"/>
        <v>0</v>
      </c>
      <c r="AJ13" s="188">
        <f t="shared" si="7"/>
        <v>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28</v>
      </c>
      <c r="AZ13" s="188">
        <f>SUBTOTAL(9,AZ8:AZ12)</f>
        <v>24</v>
      </c>
      <c r="BA13" s="188">
        <f>SUBTOTAL(9,BA8:BA12)</f>
        <v>18</v>
      </c>
      <c r="BB13" s="188">
        <f>SUBTOTAL(9,BB8:BB12)</f>
        <v>34</v>
      </c>
      <c r="BC13" s="188">
        <f>SUBTOTAL(9,BC8:BC12)</f>
        <v>6</v>
      </c>
      <c r="BD13" s="209">
        <f>IF(ISNUMBER(BA13/AZ13),BA13/AZ13," - ")</f>
        <v>0.75</v>
      </c>
      <c r="BE13" s="210">
        <f>IF(ISNUMBER(BB13/BA13),BB13/BA13, " - ")</f>
        <v>1.8888888888888888</v>
      </c>
      <c r="BF13" s="210">
        <f>IF(ISNUMBER(BC13/BA13),BC13/BA13, " - ")</f>
        <v>0.33333333333333331</v>
      </c>
      <c r="BG13" s="211">
        <f>IF(ISNUMBER((AY13+AZ13)/BA13),(AY13+AZ13)/BA13," - ")</f>
        <v>2.8888888888888888</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1083</v>
      </c>
      <c r="J15" s="187">
        <v>1536</v>
      </c>
      <c r="K15" s="187">
        <v>1320</v>
      </c>
      <c r="L15" s="187">
        <v>1304</v>
      </c>
      <c r="M15" s="187">
        <v>124</v>
      </c>
      <c r="N15" s="187">
        <v>862</v>
      </c>
      <c r="O15" s="185">
        <v>8</v>
      </c>
      <c r="P15" s="187">
        <v>39</v>
      </c>
      <c r="Q15" s="187">
        <v>39</v>
      </c>
      <c r="R15" s="187">
        <v>112</v>
      </c>
      <c r="S15" s="187">
        <v>0</v>
      </c>
      <c r="T15" s="187">
        <v>0</v>
      </c>
      <c r="U15" s="187">
        <v>0</v>
      </c>
      <c r="V15" s="187">
        <v>0</v>
      </c>
      <c r="W15" s="187">
        <v>0</v>
      </c>
      <c r="X15" s="193">
        <v>0</v>
      </c>
      <c r="Y15" s="206">
        <v>0</v>
      </c>
      <c r="Z15" s="187">
        <v>0</v>
      </c>
      <c r="AA15" s="187">
        <v>0</v>
      </c>
      <c r="AB15" s="187">
        <v>0</v>
      </c>
      <c r="AC15" s="187">
        <v>9</v>
      </c>
      <c r="AD15" s="187">
        <v>16</v>
      </c>
      <c r="AE15" s="187">
        <v>16</v>
      </c>
      <c r="AF15" s="193">
        <v>9</v>
      </c>
      <c r="AG15" s="206">
        <v>0</v>
      </c>
      <c r="AH15" s="187">
        <v>0</v>
      </c>
      <c r="AI15" s="187">
        <v>0</v>
      </c>
      <c r="AJ15" s="207">
        <v>0</v>
      </c>
      <c r="AK15" s="186">
        <v>0</v>
      </c>
      <c r="AL15" s="187">
        <v>0</v>
      </c>
      <c r="AM15" s="187">
        <v>0</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0</v>
      </c>
      <c r="AZ15" s="130">
        <f t="shared" si="9"/>
        <v>0</v>
      </c>
      <c r="BA15" s="130">
        <f t="shared" si="9"/>
        <v>0</v>
      </c>
      <c r="BB15" s="130">
        <f t="shared" si="9"/>
        <v>0</v>
      </c>
      <c r="BC15" s="126">
        <f>IF(ISNUMBER(W15),W15," - ")</f>
        <v>0</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127</v>
      </c>
      <c r="J17" s="187">
        <v>447</v>
      </c>
      <c r="K17" s="187">
        <v>438</v>
      </c>
      <c r="L17" s="187">
        <v>136</v>
      </c>
      <c r="M17" s="187">
        <v>88</v>
      </c>
      <c r="N17" s="187">
        <v>169</v>
      </c>
      <c r="O17" s="187">
        <v>0</v>
      </c>
      <c r="P17" s="187">
        <v>8</v>
      </c>
      <c r="Q17" s="187">
        <v>2</v>
      </c>
      <c r="R17" s="187">
        <v>9</v>
      </c>
      <c r="S17" s="187">
        <v>99</v>
      </c>
      <c r="T17" s="187">
        <v>201</v>
      </c>
      <c r="U17" s="187">
        <v>178</v>
      </c>
      <c r="V17" s="187">
        <v>122</v>
      </c>
      <c r="W17" s="187">
        <v>33</v>
      </c>
      <c r="X17" s="193">
        <v>102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99</v>
      </c>
      <c r="AZ17" s="130">
        <f t="shared" si="14"/>
        <v>201</v>
      </c>
      <c r="BA17" s="130">
        <f t="shared" si="14"/>
        <v>178</v>
      </c>
      <c r="BB17" s="130">
        <f t="shared" si="14"/>
        <v>122</v>
      </c>
      <c r="BC17" s="126">
        <f>IF(ISNUMBER(W17),W17," - ")</f>
        <v>33</v>
      </c>
      <c r="BD17" s="127">
        <f>IF(ISNUMBER(BA17/AZ17),BA17/AZ17," - ")</f>
        <v>0.88557213930348255</v>
      </c>
      <c r="BE17" s="128">
        <f>IF(ISNUMBER(BB17/BA17),BB17/BA17, " - ")</f>
        <v>0.6853932584269663</v>
      </c>
      <c r="BF17" s="128">
        <f>IF(ISNUMBER(BC17/BA17),BC17/BA17, " - ")</f>
        <v>0.1853932584269663</v>
      </c>
      <c r="BG17" s="200">
        <f>IF(ISNUMBER((AY17+AZ17)/BA17),(AY17+AZ17)/BA17," - ")</f>
        <v>1.6853932584269662</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1210</v>
      </c>
      <c r="J18" s="188">
        <f t="shared" si="15"/>
        <v>1983</v>
      </c>
      <c r="K18" s="188">
        <f t="shared" si="15"/>
        <v>1758</v>
      </c>
      <c r="L18" s="188">
        <f t="shared" si="15"/>
        <v>1440</v>
      </c>
      <c r="M18" s="188">
        <f t="shared" si="15"/>
        <v>212</v>
      </c>
      <c r="N18" s="188">
        <f t="shared" si="15"/>
        <v>1031</v>
      </c>
      <c r="O18" s="188">
        <f t="shared" si="15"/>
        <v>8</v>
      </c>
      <c r="P18" s="188">
        <f t="shared" si="15"/>
        <v>47</v>
      </c>
      <c r="Q18" s="188">
        <f t="shared" si="15"/>
        <v>41</v>
      </c>
      <c r="R18" s="188">
        <f t="shared" si="15"/>
        <v>121</v>
      </c>
      <c r="S18" s="188">
        <f t="shared" si="15"/>
        <v>99</v>
      </c>
      <c r="T18" s="188">
        <f t="shared" si="15"/>
        <v>201</v>
      </c>
      <c r="U18" s="188">
        <f t="shared" si="15"/>
        <v>178</v>
      </c>
      <c r="V18" s="188">
        <f t="shared" si="15"/>
        <v>122</v>
      </c>
      <c r="W18" s="188">
        <f t="shared" si="15"/>
        <v>33</v>
      </c>
      <c r="X18" s="188">
        <f t="shared" si="15"/>
        <v>102</v>
      </c>
      <c r="Y18" s="188">
        <f t="shared" si="15"/>
        <v>0</v>
      </c>
      <c r="Z18" s="188">
        <f t="shared" si="15"/>
        <v>0</v>
      </c>
      <c r="AA18" s="188">
        <f t="shared" si="15"/>
        <v>0</v>
      </c>
      <c r="AB18" s="188">
        <f t="shared" si="15"/>
        <v>0</v>
      </c>
      <c r="AC18" s="188">
        <f t="shared" si="15"/>
        <v>9</v>
      </c>
      <c r="AD18" s="188">
        <f t="shared" si="15"/>
        <v>16</v>
      </c>
      <c r="AE18" s="188">
        <f t="shared" si="15"/>
        <v>16</v>
      </c>
      <c r="AF18" s="188">
        <f t="shared" si="15"/>
        <v>9</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99</v>
      </c>
      <c r="AZ18" s="188">
        <f>SUBTOTAL(9,AZ14:AZ17)</f>
        <v>201</v>
      </c>
      <c r="BA18" s="188">
        <f>SUBTOTAL(9,BA14:BA17)</f>
        <v>178</v>
      </c>
      <c r="BB18" s="188">
        <f>SUBTOTAL(9,BB14:BB17)</f>
        <v>122</v>
      </c>
      <c r="BC18" s="188">
        <f>SUBTOTAL(9,BC14:BC17)</f>
        <v>33</v>
      </c>
      <c r="BD18" s="209">
        <f>IF(ISNUMBER(BA18/AZ18),BA18/AZ18," - ")</f>
        <v>0.88557213930348255</v>
      </c>
      <c r="BE18" s="210">
        <f>IF(ISNUMBER(BB18/BA18),BB18/BA18, " - ")</f>
        <v>0.6853932584269663</v>
      </c>
      <c r="BF18" s="210">
        <f>IF(ISNUMBER(BC18/BA18),BC18/BA18, " - ")</f>
        <v>0.1853932584269663</v>
      </c>
      <c r="BG18" s="211">
        <f>IF(ISNUMBER((AY18+AZ18)/BA18),(AY18+AZ18)/BA18," - ")</f>
        <v>1.6853932584269662</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3841</v>
      </c>
      <c r="J19" s="135">
        <f t="shared" si="18"/>
        <v>3613</v>
      </c>
      <c r="K19" s="135">
        <f t="shared" si="18"/>
        <v>3122</v>
      </c>
      <c r="L19" s="135">
        <f t="shared" si="18"/>
        <v>4337</v>
      </c>
      <c r="M19" s="135">
        <f t="shared" si="18"/>
        <v>615</v>
      </c>
      <c r="N19" s="135">
        <f t="shared" si="18"/>
        <v>1542</v>
      </c>
      <c r="O19" s="135">
        <f t="shared" si="18"/>
        <v>531</v>
      </c>
      <c r="P19" s="135">
        <f t="shared" si="18"/>
        <v>385</v>
      </c>
      <c r="Q19" s="135">
        <f t="shared" si="18"/>
        <v>301</v>
      </c>
      <c r="R19" s="135">
        <f t="shared" si="18"/>
        <v>3367</v>
      </c>
      <c r="S19" s="135">
        <f t="shared" si="18"/>
        <v>127</v>
      </c>
      <c r="T19" s="135">
        <f t="shared" si="18"/>
        <v>225</v>
      </c>
      <c r="U19" s="135">
        <f t="shared" si="18"/>
        <v>196</v>
      </c>
      <c r="V19" s="135">
        <f t="shared" si="18"/>
        <v>156</v>
      </c>
      <c r="W19" s="135">
        <f t="shared" si="18"/>
        <v>39</v>
      </c>
      <c r="X19" s="135">
        <f t="shared" si="18"/>
        <v>114</v>
      </c>
      <c r="Y19" s="135">
        <f t="shared" si="18"/>
        <v>162</v>
      </c>
      <c r="Z19" s="135">
        <f t="shared" si="18"/>
        <v>199</v>
      </c>
      <c r="AA19" s="135">
        <f t="shared" si="18"/>
        <v>173</v>
      </c>
      <c r="AB19" s="135">
        <f t="shared" si="18"/>
        <v>188</v>
      </c>
      <c r="AC19" s="135">
        <f t="shared" si="18"/>
        <v>9</v>
      </c>
      <c r="AD19" s="135">
        <f t="shared" si="18"/>
        <v>16</v>
      </c>
      <c r="AE19" s="135">
        <f t="shared" si="18"/>
        <v>16</v>
      </c>
      <c r="AF19" s="135">
        <f t="shared" si="18"/>
        <v>9</v>
      </c>
      <c r="AG19" s="135">
        <f t="shared" si="18"/>
        <v>0</v>
      </c>
      <c r="AH19" s="135">
        <f t="shared" si="18"/>
        <v>0</v>
      </c>
      <c r="AI19" s="135">
        <f t="shared" si="18"/>
        <v>0</v>
      </c>
      <c r="AJ19" s="135">
        <f t="shared" si="18"/>
        <v>0</v>
      </c>
      <c r="AK19" s="135">
        <f t="shared" si="18"/>
        <v>0</v>
      </c>
      <c r="AL19" s="135">
        <f t="shared" si="18"/>
        <v>0</v>
      </c>
      <c r="AM19" s="135">
        <f t="shared" si="18"/>
        <v>0</v>
      </c>
      <c r="AN19" s="214">
        <f t="shared" si="18"/>
        <v>0</v>
      </c>
      <c r="AO19" s="215">
        <v>10</v>
      </c>
      <c r="AP19" s="215">
        <v>9</v>
      </c>
      <c r="AQ19" s="215">
        <v>9</v>
      </c>
      <c r="AR19" s="215">
        <v>9</v>
      </c>
      <c r="AS19" s="157">
        <f t="shared" si="18"/>
        <v>0</v>
      </c>
      <c r="AT19" s="157">
        <f t="shared" si="18"/>
        <v>0</v>
      </c>
      <c r="AU19" s="215"/>
      <c r="AV19" s="216"/>
      <c r="AW19" s="215"/>
      <c r="AX19" s="216"/>
      <c r="AY19" s="134">
        <f>SUBTOTAL(9,AY9:AY18)</f>
        <v>127</v>
      </c>
      <c r="AZ19" s="135">
        <f>SUBTOTAL(9,AZ9:AZ18)</f>
        <v>225</v>
      </c>
      <c r="BA19" s="135">
        <f>SUBTOTAL(9,BA9:BA18)</f>
        <v>196</v>
      </c>
      <c r="BB19" s="135">
        <f>SUBTOTAL(9,BB9:BB18)</f>
        <v>156</v>
      </c>
      <c r="BC19" s="136">
        <f>SUBTOTAL(9,BC9:BC18)</f>
        <v>39</v>
      </c>
      <c r="BD19" s="217">
        <f>IF(ISNUMBER(BA19/AZ19),BA19/AZ19," - ")</f>
        <v>0.87111111111111106</v>
      </c>
      <c r="BE19" s="214">
        <f>IF(ISNUMBER(BB19/BA19),BB19/BA19, " - ")</f>
        <v>0.79591836734693877</v>
      </c>
      <c r="BF19" s="214">
        <f>IF(ISNUMBER(BC19/BA19),BC19/BA19, " - ")</f>
        <v>0.19897959183673469</v>
      </c>
      <c r="BG19" s="136">
        <f>IF(ISNUMBER((AY19+AZ19)/BA19),(AY19+AZ19)/BA19," - ")</f>
        <v>1.7959183673469388</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sUJa69yUmF1Wkhs98YZi2wWE8dDJeVuaL8+ojBWB+YOk9EAH68tXHWl+ijL/KLSzVawUbgUb71FEXKo/98RpA==" saltValue="EVYuFP3aejF9i8Hng27h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iomrm5bDDOtK2bvZx7k/6irnA7SBhAnYTXqlVMOeJ1hQeWBOzEsPpMEcfukpnXskFJEBh1CNcYTtLqHyHW80A==" saltValue="uELl5sPt88hNFqqA6QXG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CACERES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199</v>
      </c>
      <c r="O9" s="503"/>
      <c r="P9" s="503"/>
      <c r="Q9" s="501">
        <f>IF(ISNUMBER(Datos!P9),Datos!P9,0)</f>
        <v>338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259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188</v>
      </c>
      <c r="AI9" s="503" t="str">
        <f>IF(ISNUMBER(Datos!CD9),Datos!CD9,"-")</f>
        <v>-</v>
      </c>
      <c r="AJ9" s="503" t="str">
        <f>IF(ISNUMBER(Datos!EN9),Datos!EN9," - ")</f>
        <v xml:space="preserve"> - </v>
      </c>
      <c r="AK9" s="503"/>
      <c r="AL9" s="504"/>
      <c r="AM9" s="671">
        <f>IF(ISNUMBER(Datos!R9),Datos!R9," - ")</f>
        <v>3231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394</v>
      </c>
      <c r="BD9" s="619">
        <f>IF(ISNUMBER(Datos!N9),Datos!N9," - ")</f>
        <v>506</v>
      </c>
      <c r="BE9" s="619" t="str">
        <f>IF(ISNUMBER(Datos!BW9),Datos!BW9," - ")</f>
        <v xml:space="preserve"> - </v>
      </c>
      <c r="BF9" s="667" t="str">
        <f>IF(ISNUMBER(Datos!BX9),Datos!BX9," - ")</f>
        <v xml:space="preserve"> - </v>
      </c>
      <c r="BG9" s="668">
        <f>IF(ISNUMBER(IF(J_V="SI",Datos!K9/Datos!J9,(Datos!K9+Datos!AA9)/(Datos!J9+Datos!Z9))),IF(J_V="SI",Datos!K9/Datos!J9,(Datos!K9+Datos!AA9)/(Datos!J9+Datos!Z9))," - ")</f>
        <v>0.85168539325842696</v>
      </c>
      <c r="BH9" s="669">
        <f>IF(ISNUMBER(((IF(J_V="SI",Datos!L9/Datos!K9,(Datos!L9+Datos!AB9)/(Datos!K9+Datos!AA9)))*11)/factor_trimestre),((IF(J_V="SI",Datos!L9/Datos!K9,(Datos!L9+Datos!AB9)/(Datos!K9+Datos!AA9)))*11)/factor_trimestre," - ")</f>
        <v>5.9465699208443272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2.5063451776649745E-2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52</v>
      </c>
      <c r="G10" s="497">
        <f>IF(ISNUMBER(Datos!I10),Datos!I10," - ")</f>
        <v>52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1</v>
      </c>
      <c r="AD10" s="503"/>
      <c r="AE10" s="516"/>
      <c r="AF10" s="505">
        <f>IF(ISNUMBER(Datos!L10),Datos!L10,"-")</f>
        <v>80</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5</v>
      </c>
      <c r="BE10" s="619" t="str">
        <f>IF(ISNUMBER(Datos!BW10),Datos!BW10," - ")</f>
        <v xml:space="preserve"> - </v>
      </c>
      <c r="BF10" s="667" t="str">
        <f>IF(ISNUMBER(Datos!BX10),Datos!BX10," - ")</f>
        <v xml:space="preserve"> - </v>
      </c>
      <c r="BG10" s="668">
        <f>IF(ISNUMBER(Datos!K10/Datos!J10),Datos!K10/Datos!J10," - ")</f>
        <v>0.42857142857142855</v>
      </c>
      <c r="BH10" s="669">
        <f>IF(ISNUMBER(((Datos!L10/Datos!K10)*11)/factor_trimestre),((Datos!L10/Datos!K10)*11)/factor_trimestre," - ")</f>
        <v>11.428571428571429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-6.25E-2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52</v>
      </c>
      <c r="G13" s="1044">
        <f t="shared" si="0"/>
        <v>52</v>
      </c>
      <c r="H13" s="1045">
        <f t="shared" si="0"/>
        <v>0</v>
      </c>
      <c r="I13" s="1044">
        <f t="shared" si="0"/>
        <v>0</v>
      </c>
      <c r="J13" s="1013">
        <f t="shared" si="0"/>
        <v>0</v>
      </c>
      <c r="K13" s="1013">
        <f t="shared" si="0"/>
        <v>0</v>
      </c>
      <c r="L13" s="1045">
        <f t="shared" si="0"/>
        <v>0</v>
      </c>
      <c r="M13" s="1045">
        <f t="shared" si="0"/>
        <v>0</v>
      </c>
      <c r="N13" s="1045">
        <f t="shared" si="0"/>
        <v>199</v>
      </c>
      <c r="O13" s="1046">
        <f t="shared" si="0"/>
        <v>0</v>
      </c>
      <c r="P13" s="1046">
        <f t="shared" si="0"/>
        <v>0</v>
      </c>
      <c r="Q13" s="1045">
        <f t="shared" si="0"/>
        <v>338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260</v>
      </c>
      <c r="AD13" s="1045">
        <f t="shared" si="1"/>
        <v>0</v>
      </c>
      <c r="AE13" s="1045">
        <f t="shared" si="1"/>
        <v>0</v>
      </c>
      <c r="AF13" s="1045">
        <f t="shared" si="1"/>
        <v>80</v>
      </c>
      <c r="AG13" s="1045">
        <f t="shared" si="1"/>
        <v>0</v>
      </c>
      <c r="AH13" s="1045">
        <f t="shared" si="1"/>
        <v>188</v>
      </c>
      <c r="AI13" s="1045">
        <f t="shared" si="1"/>
        <v>0</v>
      </c>
      <c r="AJ13" s="1045">
        <f t="shared" si="1"/>
        <v>0</v>
      </c>
      <c r="AK13" s="1045">
        <f t="shared" si="1"/>
        <v>0</v>
      </c>
      <c r="AL13" s="1045">
        <f t="shared" si="1"/>
        <v>0</v>
      </c>
      <c r="AM13" s="1045">
        <f t="shared" si="1"/>
        <v>3246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403</v>
      </c>
      <c r="BD13" s="1045">
        <f t="shared" si="1"/>
        <v>511</v>
      </c>
      <c r="BE13" s="1045">
        <f t="shared" si="1"/>
        <v>0</v>
      </c>
      <c r="BF13" s="1045">
        <f t="shared" si="1"/>
        <v>0</v>
      </c>
      <c r="BG13" s="1045">
        <f>IF(ISNUMBER(Datos!K13/Datos!J13),Datos!K13/Datos!J13," - ")</f>
        <v>0.8368098159509203</v>
      </c>
      <c r="BH13" s="1049">
        <f>IF(ISNUMBER(((Datos!L13/Datos!K13)*11)/factor_trimestre),((Datos!L13/Datos!K13)*11)/factor_trimestre," - ")</f>
        <v>6.3717008797653962</v>
      </c>
      <c r="BI13" s="1045">
        <f>IF(ISNUMBER('Resol  Asuntos'!D13/NºAsuntos!G13),'Resol  Asuntos'!D13/NºAsuntos!G13," - ")</f>
        <v>0.26219908913467793</v>
      </c>
      <c r="BJ13" s="1045" t="str">
        <f>IF(ISNUMBER(Datos!CI13/Datos!CJ13),Datos!CI13/Datos!CJ13," - ")</f>
        <v xml:space="preserve"> - </v>
      </c>
      <c r="BK13" s="1045">
        <f>SUBTOTAL(9,BK8:BK12)</f>
        <v>0</v>
      </c>
      <c r="BL13" s="1045">
        <f>IF(ISNUMBER((I13-AB13+L13)/(F13)),(I13-AB13+L13)/(F13)," - ")</f>
        <v>-0.40384615384615385</v>
      </c>
      <c r="BM13" s="1050">
        <f>SUBTOTAL(9,BM9:BM12)</f>
        <v>-3.7436548223350255E-2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1088</v>
      </c>
      <c r="G15" s="650">
        <f>IF(ISNUMBER(IF(D_I="SI",Datos!I15,Datos!I15+Datos!AC15)),IF(D_I="SI",Datos!I15,Datos!I15+Datos!AC15)," - ")</f>
        <v>1083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1320</v>
      </c>
      <c r="AC15" s="230">
        <f>IF(ISNUMBER(Datos!Q15),Datos!Q15," - ")</f>
        <v>39</v>
      </c>
      <c r="AD15" s="343"/>
      <c r="AE15" s="515"/>
      <c r="AF15" s="648">
        <f>IF(ISNUMBER(IF(D_I="SI",Datos!L15,Datos!L15+Datos!AF15)),IF(D_I="SI",Datos!L15,Datos!L15+Datos!AF15)," - ")</f>
        <v>1304</v>
      </c>
      <c r="AG15" s="343"/>
      <c r="AH15" s="343"/>
      <c r="AI15" s="343"/>
      <c r="AJ15" s="503"/>
      <c r="AK15" s="343"/>
      <c r="AL15" s="499"/>
      <c r="AM15" s="344">
        <f>IF(ISNUMBER(Datos!R15),Datos!R15," - ")</f>
        <v>112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124</v>
      </c>
      <c r="BD15" s="233">
        <f>IF(ISNUMBER(Datos!N15),Datos!N15," - ")</f>
        <v>862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0.859375</v>
      </c>
      <c r="BH15" s="669">
        <f>IF(ISNUMBER(((IF(D_I="SI",Datos!L15/Datos!K15,(Datos!L15+Datos!AF15)/(Datos!K15+Datos!AE15)))*11)/factor_trimestre),((IF(D_I="SI",Datos!L15/Datos!K15,(Datos!L15+Datos!AF15)/(Datos!K15+Datos!AE15)))*11)/factor_trimestre," - ")</f>
        <v>2.9636363636363638</v>
      </c>
      <c r="BI15" s="247">
        <f>IF(ISNUMBER('Resol  Asuntos'!D15/NºAsuntos!G15),'Resol  Asuntos'!D15/NºAsuntos!G15," - ")</f>
        <v>9.3939393939393934E-2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438</v>
      </c>
      <c r="AC17" s="501">
        <f>IF(ISNUMBER(Datos!Q17),Datos!Q17," - ")</f>
        <v>2</v>
      </c>
      <c r="AD17" s="503"/>
      <c r="AE17" s="515"/>
      <c r="AF17" s="505">
        <f>IF(ISNUMBER(Datos!L17),Datos!L17,"-")</f>
        <v>136</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88</v>
      </c>
      <c r="BD17" s="619">
        <f>IF(ISNUMBER(Datos!N17),Datos!N17," - ")</f>
        <v>169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0.97986577181208057</v>
      </c>
      <c r="BH17" s="669">
        <f>IF(ISNUMBER(((IF(D_I="SI",Datos!L17/Datos!K17,(Datos!L17+Datos!AF17)/(Datos!K17+Datos!AE17)))*11)/factor_trimestre),((IF(D_I="SI",Datos!L17/Datos!K17,(Datos!L17+Datos!AF17)/(Datos!K17+Datos!AE17)))*11)/factor_trimestre," - ")</f>
        <v>0.93150684931506855</v>
      </c>
      <c r="BI17" s="668">
        <f>IF(ISNUMBER('Resol  Asuntos'!D17/NºAsuntos!G17),'Resol  Asuntos'!D17/NºAsuntos!G17," - ")</f>
        <v>0.20091324200913241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1088</v>
      </c>
      <c r="G18" s="1044">
        <f>SUBTOTAL(9,G15:G17)</f>
        <v>1210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1758</v>
      </c>
      <c r="AC18" s="1045">
        <f t="shared" si="4"/>
        <v>41</v>
      </c>
      <c r="AD18" s="1045">
        <f t="shared" si="4"/>
        <v>0</v>
      </c>
      <c r="AE18" s="1045">
        <f t="shared" si="4"/>
        <v>0</v>
      </c>
      <c r="AF18" s="1045">
        <f t="shared" si="4"/>
        <v>1440</v>
      </c>
      <c r="AG18" s="1045">
        <f t="shared" si="4"/>
        <v>0</v>
      </c>
      <c r="AH18" s="1045">
        <f t="shared" si="4"/>
        <v>0</v>
      </c>
      <c r="AI18" s="1045">
        <f t="shared" si="4"/>
        <v>0</v>
      </c>
      <c r="AJ18" s="1045">
        <f t="shared" si="4"/>
        <v>0</v>
      </c>
      <c r="AK18" s="1045">
        <f t="shared" si="4"/>
        <v>0</v>
      </c>
      <c r="AL18" s="1045">
        <f t="shared" si="4"/>
        <v>0</v>
      </c>
      <c r="AM18" s="1045">
        <f t="shared" si="4"/>
        <v>121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212</v>
      </c>
      <c r="BD18" s="1045">
        <f t="shared" si="4"/>
        <v>1031</v>
      </c>
      <c r="BE18" s="1045">
        <f t="shared" si="4"/>
        <v>0</v>
      </c>
      <c r="BF18" s="1045">
        <f t="shared" si="4"/>
        <v>0</v>
      </c>
      <c r="BG18" s="1045">
        <f>IF(ISNUMBER(Datos!K18/Datos!J18),Datos!K18/Datos!J18," - ")</f>
        <v>0.88653555219364599</v>
      </c>
      <c r="BH18" s="1049">
        <f>IF(ISNUMBER(((Datos!L18/Datos!K18)*11)/factor_trimestre),((Datos!L18/Datos!K18)*11)/factor_trimestre," - ")</f>
        <v>2.4573378839590441</v>
      </c>
      <c r="BI18" s="1045">
        <f>SUBTOTAL(9,BI15:BI17)</f>
        <v>0.29485263594852634</v>
      </c>
      <c r="BJ18" s="1045">
        <f>SUBTOTAL(9,BJ15:BJ17)</f>
        <v>0</v>
      </c>
      <c r="BK18" s="1045">
        <f>SUBTOTAL(9,BK15:BK17)</f>
        <v>0</v>
      </c>
      <c r="BL18" s="1045">
        <f>IF(ISNUMBER((I18-AB18+L18)/(F18)),(I18-AB18+L18)/(F18)," - ")</f>
        <v>-1.6158088235294117</v>
      </c>
      <c r="BM18" s="1051">
        <f>IF(ISNUMBER((Datos!P18-Datos!Q18)/(Datos!R18-Datos!P18+Datos!Q18)),(Datos!P18-Datos!Q18)/(Datos!R18-Datos!P18+Datos!Q18)," - ")</f>
        <v>5.2173913043478258E-2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1140</v>
      </c>
      <c r="G19" s="966">
        <f t="shared" si="6"/>
        <v>1262</v>
      </c>
      <c r="H19" s="968">
        <f t="shared" si="6"/>
        <v>0</v>
      </c>
      <c r="I19" s="966">
        <f t="shared" si="6"/>
        <v>0</v>
      </c>
      <c r="J19" s="968">
        <f t="shared" si="6"/>
        <v>0</v>
      </c>
      <c r="K19" s="968">
        <f t="shared" si="6"/>
        <v>0</v>
      </c>
      <c r="L19" s="1027">
        <f t="shared" si="6"/>
        <v>0</v>
      </c>
      <c r="M19" s="1027">
        <f t="shared" si="6"/>
        <v>0</v>
      </c>
      <c r="N19" s="1027">
        <f t="shared" si="6"/>
        <v>199</v>
      </c>
      <c r="O19" s="1027">
        <f t="shared" si="6"/>
        <v>0</v>
      </c>
      <c r="P19" s="1027">
        <f t="shared" si="6"/>
        <v>0</v>
      </c>
      <c r="Q19" s="968">
        <f t="shared" si="6"/>
        <v>385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1779</v>
      </c>
      <c r="AC19" s="967">
        <f t="shared" si="7"/>
        <v>301</v>
      </c>
      <c r="AD19" s="967">
        <f t="shared" si="7"/>
        <v>0</v>
      </c>
      <c r="AE19" s="967">
        <f t="shared" si="7"/>
        <v>0</v>
      </c>
      <c r="AF19" s="974">
        <f t="shared" si="7"/>
        <v>1520</v>
      </c>
      <c r="AG19" s="974">
        <f t="shared" si="7"/>
        <v>0</v>
      </c>
      <c r="AH19" s="974">
        <f t="shared" si="7"/>
        <v>188</v>
      </c>
      <c r="AI19" s="974">
        <f t="shared" si="7"/>
        <v>0</v>
      </c>
      <c r="AJ19" s="967">
        <f t="shared" si="7"/>
        <v>0</v>
      </c>
      <c r="AK19" s="974">
        <f t="shared" si="7"/>
        <v>0</v>
      </c>
      <c r="AL19" s="974">
        <f t="shared" si="7"/>
        <v>0</v>
      </c>
      <c r="AM19" s="974">
        <f t="shared" si="7"/>
        <v>3367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615</v>
      </c>
      <c r="BD19" s="966">
        <f t="shared" si="7"/>
        <v>1542</v>
      </c>
      <c r="BE19" s="966">
        <f t="shared" si="7"/>
        <v>0</v>
      </c>
      <c r="BF19" s="976">
        <f t="shared" si="7"/>
        <v>0</v>
      </c>
      <c r="BG19" s="1061">
        <f>IF(ISNUMBER(Datos!K19/Datos!J19),Datos!K19/Datos!J19," - ")</f>
        <v>0.86410185441461385</v>
      </c>
      <c r="BH19" s="1061">
        <f>IF(ISNUMBER(((Datos!L19/Datos!K19)*11)/factor_trimestre),((Datos!L19/Datos!K19)*11)/factor_trimestre," - ")</f>
        <v>4.167520819987188</v>
      </c>
      <c r="BI19" s="959">
        <f>IF(ISNUMBER(Datos!J19/Datos!I19),Datos!J19/Datos!I19," - ")</f>
        <v>0.94064045821400677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-1.5605263157894738</v>
      </c>
      <c r="BM19" s="1035">
        <f>IF(ISNUMBER((Datos!P19-Datos!Q19+R19)/(Datos!R19-Datos!P19+Datos!Q19-R19)),(Datos!P19-Datos!Q19+R19)/(Datos!R19-Datos!P19+Datos!Q19-R19)," - ")</f>
        <v>2.5586353944562899E-2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504.8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2.3333333333333335</v>
      </c>
      <c r="F21" s="599">
        <f>IF(ISNUMBER(STDEV(F8:F18)),STDEV(F8:F18),"-")</f>
        <v>598.13487888045222</v>
      </c>
      <c r="G21" s="600">
        <f>IF(ISNUMBER(STDEV(G8:G18)),STDEV(G8:G18),"-")</f>
        <v>588.30493793610128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789.59122335547784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163.48700254148645</v>
      </c>
      <c r="BD21" s="599"/>
      <c r="BE21" s="599">
        <f>IF(ISNUMBER(STDEV(BE8:BE18)),STDEV(BE8:BE18),"-")</f>
        <v>0</v>
      </c>
      <c r="BF21" s="604">
        <f>IF(ISNUMBER(STDEV(BF8:BF18)),STDEV(BF8:BF18),"-")</f>
        <v>0</v>
      </c>
      <c r="BG21" s="914">
        <f>IF(ISNUMBER(STDEV(BG8:BG18)),STDEV(BG8:BG18),"-")</f>
        <v>0.19237728269851839</v>
      </c>
      <c r="BH21" s="918">
        <f>IF(ISNUMBER(STDEV(BH8:BH18)),STDEV(BH8:BH18),"-")</f>
        <v>3.7753672233752624</v>
      </c>
      <c r="BI21" s="253">
        <f>IF(ISNUMBER(STDEV(BI8:BI18)),STDEV(BI8:BI18),"-")</f>
        <v>8.8396681180063733E-2</v>
      </c>
      <c r="BJ21" s="234" t="str">
        <f>IF(ISNUMBER(BL21/BM21),BL21/BM21," - ")</f>
        <v xml:space="preserve"> - </v>
      </c>
      <c r="BK21" s="626"/>
      <c r="BL21" s="607">
        <f>IF(ISNUMBER(STDEV(BL8:BL18)),STDEV(BL8:BL18),"-")</f>
        <v>0.8569870222779834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SCqU+hAqhTUuGfE1CmCjYSrg8Py3zAbmv+LW7uBw9JzXVPeOFbewuyfMMhJweBpdJIazKiFiSwnZcANlKcgig==" saltValue="1fHh/e+gLAXN1LhgSn5p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CACERES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338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259</v>
      </c>
      <c r="AA9" s="505" t="str">
        <f>IF(ISNUMBER(IF(J_V="SI",Datos!L9,Datos!L9+Datos!AB9)-IF(Monitorios="SI",Datos!CD9,0)),
                          IF(J_V="SI",Datos!L9,Datos!L9+Datos!AB9)-IF(Monitorios="SI",Datos!CD9,0),
                          " - ")</f>
        <v xml:space="preserve"> - </v>
      </c>
      <c r="AB9" s="503"/>
      <c r="AC9" s="503"/>
      <c r="AD9" s="516"/>
      <c r="AE9" s="516">
        <f>IF(ISNUMBER(Datos!R9),Datos!R9," - ")</f>
        <v>3231</v>
      </c>
      <c r="AF9" s="619" t="str">
        <f>IF(ISNUMBER(Datos!BV9),Datos!BV9," - ")</f>
        <v xml:space="preserve"> - </v>
      </c>
      <c r="AG9" s="506" t="str">
        <f>IF(ISNUMBER(Datos!DV9),Datos!DV9," - ")</f>
        <v xml:space="preserve"> - </v>
      </c>
      <c r="AH9" s="507"/>
      <c r="AI9" s="508"/>
      <c r="AJ9" s="506">
        <f>IF(ISNUMBER(Datos!M9),Datos!M9," - ")</f>
        <v>394</v>
      </c>
      <c r="AK9" s="619">
        <f>IF(ISNUMBER(Datos!N9),Datos!N9," - ")</f>
        <v>506</v>
      </c>
      <c r="AL9" s="619" t="str">
        <f>IF(ISNUMBER(Datos!BW9),Datos!BW9," - ")</f>
        <v xml:space="preserve"> - </v>
      </c>
      <c r="AM9" s="667" t="str">
        <f>IF(ISNUMBER(Datos!BX9),Datos!BX9," - ")</f>
        <v xml:space="preserve"> - </v>
      </c>
      <c r="AN9" s="668"/>
      <c r="AO9" s="669">
        <f>IF(ISNUMBER(((NºAsuntos!I9/NºAsuntos!G9)*11)/factor_trimestre),((NºAsuntos!I9/NºAsuntos!G9)*11)/factor_trimestre," - ")</f>
        <v>5.9465699208443272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2.5063451776649745E-2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52</v>
      </c>
      <c r="G10" s="506">
        <f>IF(ISNUMBER(Datos!I10),Datos!I10," - ")</f>
        <v>52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1</v>
      </c>
      <c r="AA10" s="505">
        <f>IF(ISNUMBER(Datos!L10),Datos!L10,"-")</f>
        <v>80</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9</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11.428571428571429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-6.25E-2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52</v>
      </c>
      <c r="G13" s="1044">
        <f>SUBTOTAL(9,G8:G12)</f>
        <v>52</v>
      </c>
      <c r="H13" s="1054"/>
      <c r="I13" s="1044">
        <f t="shared" ref="I13:N13" si="0">SUBTOTAL(9,I8:I12)</f>
        <v>0</v>
      </c>
      <c r="J13" s="1013">
        <f t="shared" si="0"/>
        <v>0</v>
      </c>
      <c r="K13" s="1054">
        <f t="shared" si="0"/>
        <v>0</v>
      </c>
      <c r="L13" s="1054">
        <f t="shared" si="0"/>
        <v>0</v>
      </c>
      <c r="M13" s="1054">
        <f t="shared" si="0"/>
        <v>0</v>
      </c>
      <c r="N13" s="1054">
        <f t="shared" si="0"/>
        <v>338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260</v>
      </c>
      <c r="AA13" s="1046">
        <f t="shared" si="2"/>
        <v>80</v>
      </c>
      <c r="AB13" s="1046">
        <f t="shared" si="2"/>
        <v>0</v>
      </c>
      <c r="AC13" s="1046">
        <f t="shared" si="2"/>
        <v>0</v>
      </c>
      <c r="AD13" s="1046">
        <f t="shared" si="2"/>
        <v>0</v>
      </c>
      <c r="AE13" s="1046">
        <f t="shared" si="2"/>
        <v>3246</v>
      </c>
      <c r="AF13" s="1054">
        <f t="shared" si="2"/>
        <v>0</v>
      </c>
      <c r="AG13" s="1054">
        <f t="shared" si="2"/>
        <v>0</v>
      </c>
      <c r="AH13" s="1054">
        <f t="shared" si="2"/>
        <v>0</v>
      </c>
      <c r="AI13" s="1054">
        <f t="shared" si="2"/>
        <v>0</v>
      </c>
      <c r="AJ13" s="1054">
        <f t="shared" si="2"/>
        <v>403</v>
      </c>
      <c r="AK13" s="1054">
        <f t="shared" si="2"/>
        <v>511</v>
      </c>
      <c r="AL13" s="1054">
        <f t="shared" si="2"/>
        <v>0</v>
      </c>
      <c r="AM13" s="1054">
        <f t="shared" si="2"/>
        <v>0</v>
      </c>
      <c r="AN13" s="1054">
        <f t="shared" si="2"/>
        <v>0</v>
      </c>
      <c r="AO13" s="1050">
        <f>IF(ISNUMBER(((NºAsuntos!I13/NºAsuntos!G13)*11)/factor_trimestre),((NºAsuntos!I13/NºAsuntos!G13)*11)/factor_trimestre," - ")</f>
        <v>6.0214703968770342</v>
      </c>
      <c r="AP13" s="1056" t="str">
        <f>IF(ISNUMBER(Datos!CI13/Datos!CJ13),Datos!CI13/Datos!CJ13," - ")</f>
        <v xml:space="preserve"> - </v>
      </c>
      <c r="AQ13" s="1074">
        <f t="shared" ref="AQ13:AV13" si="3">SUBTOTAL(9,AQ9:AQ12)</f>
        <v>0</v>
      </c>
      <c r="AR13" s="1074">
        <f t="shared" si="3"/>
        <v>-3.7436548223350255E-2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1088</v>
      </c>
      <c r="G15" s="506">
        <f>IF(ISNUMBER(IF(D_I="SI",Datos!I15,Datos!I15+Datos!AC15)),IF(D_I="SI",Datos!I15,Datos!I15+Datos!AC15)," - ")</f>
        <v>1083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1320</v>
      </c>
      <c r="Z15" s="703">
        <f>IF(ISNUMBER(Datos!Q15),Datos!Q15," - ")</f>
        <v>39</v>
      </c>
      <c r="AA15" s="505">
        <f>IF(ISNUMBER(IF(D_I="SI",Datos!L15,Datos!L15+Datos!AF15)),IF(D_I="SI",Datos!L15,Datos!L15+Datos!AF15)," - ")</f>
        <v>1304</v>
      </c>
      <c r="AB15" s="503"/>
      <c r="AC15" s="503"/>
      <c r="AD15" s="516"/>
      <c r="AE15" s="516">
        <f>IF(ISNUMBER(Datos!R15),Datos!R15," - ")</f>
        <v>112</v>
      </c>
      <c r="AF15" s="619" t="str">
        <f>IF(ISNUMBER(Datos!BV15),Datos!BV15," - ")</f>
        <v xml:space="preserve"> - </v>
      </c>
      <c r="AG15" s="506"/>
      <c r="AH15" s="507"/>
      <c r="AI15" s="508"/>
      <c r="AJ15" s="506">
        <f>IF(ISNUMBER(Datos!M15),Datos!M15," - ")</f>
        <v>124</v>
      </c>
      <c r="AK15" s="619">
        <f>IF(ISNUMBER(Datos!N15),Datos!N15," - ")</f>
        <v>862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2.9636363636363638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438</v>
      </c>
      <c r="Z17" s="703">
        <f>IF(ISNUMBER(Datos!Q17),Datos!Q17," - ")</f>
        <v>2</v>
      </c>
      <c r="AA17" s="505">
        <f>IF(ISNUMBER(Datos!L17),Datos!L17,"-")</f>
        <v>136</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88</v>
      </c>
      <c r="AK17" s="619">
        <f>IF(ISNUMBER(Datos!N17),Datos!N17," - ")</f>
        <v>169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0.93150684931506855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1088</v>
      </c>
      <c r="G18" s="1044">
        <f>SUBTOTAL(9,G15:G17)</f>
        <v>1210</v>
      </c>
      <c r="H18" s="1078">
        <f>SUBTOTAL(9,H15:H17)</f>
        <v>0</v>
      </c>
      <c r="I18" s="1057">
        <f>SUBTOTAL(9,I15:I17)</f>
        <v>0</v>
      </c>
      <c r="J18" s="1013">
        <f>SUBTOTAL(9,J14:J17)</f>
        <v>0</v>
      </c>
      <c r="K18" s="1078">
        <f t="shared" ref="K18:S18" si="4">SUBTOTAL(9,K15:K17)</f>
        <v>0</v>
      </c>
      <c r="L18" s="1078">
        <f t="shared" si="4"/>
        <v>0</v>
      </c>
      <c r="M18" s="1078">
        <f t="shared" si="4"/>
        <v>0</v>
      </c>
      <c r="N18" s="1078">
        <f t="shared" si="4"/>
        <v>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1758</v>
      </c>
      <c r="Z18" s="1078">
        <f t="shared" si="5"/>
        <v>41</v>
      </c>
      <c r="AA18" s="1078">
        <f t="shared" si="5"/>
        <v>1440</v>
      </c>
      <c r="AB18" s="1078">
        <f t="shared" si="5"/>
        <v>0</v>
      </c>
      <c r="AC18" s="1078">
        <f t="shared" si="5"/>
        <v>0</v>
      </c>
      <c r="AD18" s="1078">
        <f t="shared" si="5"/>
        <v>0</v>
      </c>
      <c r="AE18" s="1078">
        <f t="shared" si="5"/>
        <v>121</v>
      </c>
      <c r="AF18" s="1078">
        <f t="shared" si="5"/>
        <v>0</v>
      </c>
      <c r="AG18" s="1078">
        <f t="shared" si="5"/>
        <v>0</v>
      </c>
      <c r="AH18" s="1078">
        <f t="shared" si="5"/>
        <v>0</v>
      </c>
      <c r="AI18" s="1078">
        <f t="shared" si="5"/>
        <v>0</v>
      </c>
      <c r="AJ18" s="1078">
        <f t="shared" si="5"/>
        <v>212</v>
      </c>
      <c r="AK18" s="1078">
        <f t="shared" si="5"/>
        <v>1031</v>
      </c>
      <c r="AL18" s="1078">
        <f t="shared" si="5"/>
        <v>0</v>
      </c>
      <c r="AM18" s="1078">
        <f t="shared" si="5"/>
        <v>0</v>
      </c>
      <c r="AN18" s="1078">
        <f t="shared" si="5"/>
        <v>0</v>
      </c>
      <c r="AO18" s="1080">
        <f>IF(ISNUMBER(((NºAsuntos!I18/NºAsuntos!G18)*11)/factor_trimestre),((NºAsuntos!I18/NºAsuntos!G18)*11)/factor_trimestre," - ")</f>
        <v>2.4573378839590441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1140</v>
      </c>
      <c r="G19" s="966">
        <f t="shared" si="7"/>
        <v>1262</v>
      </c>
      <c r="H19" s="967">
        <f t="shared" si="7"/>
        <v>0</v>
      </c>
      <c r="I19" s="966">
        <f t="shared" si="7"/>
        <v>0</v>
      </c>
      <c r="J19" s="968">
        <f t="shared" si="7"/>
        <v>0</v>
      </c>
      <c r="K19" s="966">
        <f t="shared" si="7"/>
        <v>0</v>
      </c>
      <c r="L19" s="969">
        <f t="shared" si="7"/>
        <v>0</v>
      </c>
      <c r="M19" s="966">
        <f t="shared" si="7"/>
        <v>0</v>
      </c>
      <c r="N19" s="967">
        <f t="shared" si="7"/>
        <v>385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1779</v>
      </c>
      <c r="Z19" s="973">
        <f t="shared" si="8"/>
        <v>301</v>
      </c>
      <c r="AA19" s="974">
        <f t="shared" si="8"/>
        <v>1520</v>
      </c>
      <c r="AB19" s="974">
        <f t="shared" si="8"/>
        <v>0</v>
      </c>
      <c r="AC19" s="974">
        <f t="shared" si="8"/>
        <v>0</v>
      </c>
      <c r="AD19" s="975">
        <f t="shared" si="8"/>
        <v>0</v>
      </c>
      <c r="AE19" s="975">
        <f t="shared" si="8"/>
        <v>3367</v>
      </c>
      <c r="AF19" s="976">
        <f t="shared" si="8"/>
        <v>0</v>
      </c>
      <c r="AG19" s="977">
        <f t="shared" si="8"/>
        <v>0</v>
      </c>
      <c r="AH19" s="978">
        <f t="shared" si="8"/>
        <v>0</v>
      </c>
      <c r="AI19" s="976">
        <f t="shared" si="8"/>
        <v>0</v>
      </c>
      <c r="AJ19" s="966">
        <f t="shared" si="8"/>
        <v>615</v>
      </c>
      <c r="AK19" s="966">
        <f t="shared" si="8"/>
        <v>1542</v>
      </c>
      <c r="AL19" s="966">
        <f t="shared" si="8"/>
        <v>0</v>
      </c>
      <c r="AM19" s="979">
        <f t="shared" si="8"/>
        <v>0</v>
      </c>
      <c r="AN19" s="969">
        <f>IF(ISNUMBER(Datos!K19/Datos!J19),Datos!K19/Datos!J19," - ")</f>
        <v>0.86410185441461385</v>
      </c>
      <c r="AO19" s="969">
        <f>IF(ISNUMBER(FIND("06",Criterios!A8,1)),(IF(ISNUMBER(((Datos!R19/Datos!Q19)*11)/factor_trimestre),((Datos!R19/Datos!Q19)*11)/factor_trimestre," - ")),(IF(ISNUMBER(((Datos!L19/Datos!K19)*11)/factor_trimestre),((Datos!L19/Datos!K19)*11)/factor_trimestre," - ")))</f>
        <v>4.167520819987188</v>
      </c>
      <c r="AP19" s="980" t="str">
        <f>IF(ISNUMBER(Datos!CI19/Datos!CJ19),Datos!CI19/Datos!CJ19," - ")</f>
        <v xml:space="preserve"> - </v>
      </c>
      <c r="AQ19" s="980">
        <f>IF(OR(ISNUMBER(FIND("01",Criterios!A8,1)),ISNUMBER(FIND("02",Criterios!A8,1)),ISNUMBER(FIND("03",Criterios!A8,1)),ISNUMBER(FIND("04",Criterios!A8,1))),(J19-Y19+K19)/(F19-K19),(I19-Y19+K19)/(F19-K19))</f>
        <v>-1.5605263157894738</v>
      </c>
      <c r="AR19" s="980">
        <f>IF(ISNUMBER((Datos!P19-Datos!Q19+O19)/(Datos!R19-Datos!P19+Datos!Q19-O19)),(Datos!P19-Datos!Q19+O19)/(Datos!R19-Datos!P19+Datos!Q19-O19)," - ")</f>
        <v>2.5586353944562899E-2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504.8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598.13487888045222</v>
      </c>
      <c r="G21" s="600">
        <f>IF(ISNUMBER(STDEV(G8:G18)),STDEV(G8:G18),"-")</f>
        <v>588.30493793610128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163.48700254148645</v>
      </c>
      <c r="AK21" s="256"/>
      <c r="AL21" s="256">
        <f>IF(ISNUMBER(STDEV(AL8:AL18)),STDEV(AL8:AL18),"-")</f>
        <v>0</v>
      </c>
      <c r="AM21" s="258">
        <f>IF(ISNUMBER(STDEV(AM8:AM18)),STDEV(AM8:AM18),"-")</f>
        <v>0</v>
      </c>
      <c r="AN21" s="586">
        <f>IF(ISNUMBER(STDEV(AN8:AN18)),STDEV(AN8:AN18),"-")</f>
        <v>0</v>
      </c>
      <c r="AO21" s="587">
        <f>IF(ISNUMBER(STDEV(AO8:AO18)),STDEV(AO8:AO18),"-")</f>
        <v>3.7528650018829746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ZgEpjyXFZOhnaLniF3cFVRYmSrIhVzjQ6X9IQFuFt1vyNQInyVO4l/PvGWvcwqz9TWfgchgAu5CXfANYNsrDA==" saltValue="iuaI5bGBNrv+h9UmqYH1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96YiHHii67mY5LuVbSf4bzKVJ+GarpZIWL8xy5m5GtEsqp9P+yBmhek9VlTeJ920n1EaaiGJ1835m05Jtbruw==" saltValue="Q8MNRgFNGJAJ//7EfrBp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7KYcBuc17r2Bi3Us8oP2LPcWG5KzoKuQyYgIKexEMfKZmE0QPmNWddWbqUvjN5MjxEF4xx/SBK5Qy3/N14lgA==" saltValue="70VCHZVAu0tRasbAUzu6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CACERES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0.26219908913467793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0.1854027539480668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RlQx+vWbJiXvBztHhhUlnv2Lew25h4dObhbtps+NEECWyARaOf5c5C3Rke09qCEczoganGAxcn/kzFA89g1Nw==" saltValue="/XWHgOP2iJd7OwaBy9ky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LNoDGNkxSsw66yOqYfkhaQRPZYbLehhoYG9GB8HjIZj4WmmzvzIpgop3BuU2Cl0sGYH5C1h/SRdFsvTyQF6OA==" saltValue="ybT+UVXqVudj4Cg/jGgZ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CACERES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2741</v>
      </c>
      <c r="D9" s="415" t="str">
        <f>IF(ISNUMBER(C9/Datos!BH9),C9/Datos!BH9," - ")</f>
        <v xml:space="preserve"> - </v>
      </c>
      <c r="E9" s="414">
        <f>IF(ISNUMBER(IF(J_V="SI",Datos!J9,Datos!J9+Datos!Z9)),IF(J_V="SI",Datos!J9,Datos!J9+Datos!Z9)," - ")</f>
        <v>1780</v>
      </c>
      <c r="F9" s="415">
        <f>IF(ISNUMBER(E9/B9),E9/B9," - ")</f>
        <v>356</v>
      </c>
      <c r="G9" s="414">
        <f>IF(ISNUMBER(IF(J_V="SI",Datos!K9,Datos!K9+Datos!AA9)),IF(J_V="SI",Datos!K9,Datos!K9+Datos!AA9)," - ")</f>
        <v>1516</v>
      </c>
      <c r="H9" s="415">
        <f>IF(ISNUMBER(G9/B9),G9/B9," - ")</f>
        <v>303.2</v>
      </c>
      <c r="I9" s="414">
        <f>IF(ISNUMBER(IF(J_V="SI",Datos!L9,Datos!L9+Datos!AB9)),IF(J_V="SI",Datos!L9,Datos!L9+Datos!AB9)," - ")</f>
        <v>3005</v>
      </c>
      <c r="J9" s="415">
        <f>IF(ISNUMBER(I9/B9),I9/B9," - ")</f>
        <v>601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52</v>
      </c>
      <c r="D10" s="415">
        <f>IF(ISNUMBER(C10/Datos!BH10),C10/Datos!BH10," - ")</f>
        <v>26</v>
      </c>
      <c r="E10" s="414">
        <f>IF(ISNUMBER(Datos!J10),Datos!J10," - ")</f>
        <v>49</v>
      </c>
      <c r="F10" s="415">
        <f>IF(ISNUMBER(E10/B10),E10/B10," - ")</f>
        <v>24.5</v>
      </c>
      <c r="G10" s="414">
        <f>IF(ISNUMBER(Datos!K10),Datos!K10," - ")</f>
        <v>21</v>
      </c>
      <c r="H10" s="415">
        <f>IF(ISNUMBER(G10/B10),G10/B10," - ")</f>
        <v>10.5</v>
      </c>
      <c r="I10" s="414">
        <f>IF(ISNUMBER(Datos!L10),Datos!L10," - ")</f>
        <v>80</v>
      </c>
      <c r="J10" s="415">
        <f>IF(ISNUMBER(I10/B10),I10/B10," - ")</f>
        <v>40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2793</v>
      </c>
      <c r="D13" s="996" t="str">
        <f>IF(ISNUMBER(C13/Datos!BI13),C13/Datos!BI13," - ")</f>
        <v xml:space="preserve"> - </v>
      </c>
      <c r="E13" s="995">
        <f>SUBTOTAL(9,E8:E12)</f>
        <v>1829</v>
      </c>
      <c r="F13" s="996">
        <f>IF(ISNUMBER(E13/B13),E13/B13," - ")</f>
        <v>304.83333333333331</v>
      </c>
      <c r="G13" s="995">
        <f>SUBTOTAL(9,G8:G12)</f>
        <v>1537</v>
      </c>
      <c r="H13" s="996">
        <f>IF(ISNUMBER(G13/B13),G13/B13," - ")</f>
        <v>256.16666666666669</v>
      </c>
      <c r="I13" s="995">
        <f>SUBTOTAL(9,I8:I12)</f>
        <v>3085</v>
      </c>
      <c r="J13" s="996">
        <f>IF(ISNUMBER(I13/B13),I13/B13," - ")</f>
        <v>514.16666666666663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1083</v>
      </c>
      <c r="D15" s="415" t="str">
        <f>IF(ISNUMBER(C15/Datos!BH15),C15/Datos!BH15," - ")</f>
        <v xml:space="preserve"> - </v>
      </c>
      <c r="E15" s="414">
        <f>IF(ISNUMBER(IF(D_I="SI",Datos!J15,Datos!J15+Datos!AD15)),IF(D_I="SI",Datos!J15,Datos!J15+Datos!AD15)," - ")</f>
        <v>1536</v>
      </c>
      <c r="F15" s="415">
        <f>IF(ISNUMBER(E15/B15),E15/B15," - ")</f>
        <v>512</v>
      </c>
      <c r="G15" s="414">
        <f>IF(ISNUMBER(IF(D_I="SI",Datos!K15,Datos!K15+Datos!AE15)),IF(D_I="SI",Datos!K15,Datos!K15+Datos!AE15)," - ")</f>
        <v>1320</v>
      </c>
      <c r="H15" s="415">
        <f>IF(ISNUMBER(G15/B15),G15/B15," - ")</f>
        <v>440</v>
      </c>
      <c r="I15" s="414">
        <f>IF(ISNUMBER(IF(D_I="SI",Datos!L15,Datos!L15+Datos!AF15)),IF(D_I="SI",Datos!L15,Datos!L15+Datos!AF15)," - ")</f>
        <v>1304</v>
      </c>
      <c r="J15" s="415">
        <f>IF(ISNUMBER(I15/B15),I15/B15," - ")</f>
        <v>434.66666666666669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127</v>
      </c>
      <c r="D17" s="415">
        <f>IF(ISNUMBER(C17/Datos!BH17),C17/Datos!BH17," - ")</f>
        <v>63.5</v>
      </c>
      <c r="E17" s="414">
        <f>IF(ISNUMBER(IF(D_I="SI",Datos!J17,Datos!J17+Datos!AD17)),IF(D_I="SI",Datos!J17,Datos!J17+Datos!AD17)," - ")</f>
        <v>447</v>
      </c>
      <c r="F17" s="415">
        <f>IF(ISNUMBER(E17/B17),E17/B17," - ")</f>
        <v>223.5</v>
      </c>
      <c r="G17" s="414">
        <f>IF(ISNUMBER(IF(D_I="SI",Datos!K17,Datos!K17+Datos!AE17)),IF(D_I="SI",Datos!K17,Datos!K17+Datos!AE17)," - ")</f>
        <v>438</v>
      </c>
      <c r="H17" s="415">
        <f>IF(ISNUMBER(G17/B17),G17/B17," - ")</f>
        <v>219</v>
      </c>
      <c r="I17" s="414">
        <f>IF(ISNUMBER(IF(D_I="SI",Datos!L17,Datos!L17+Datos!AF17)),IF(D_I="SI",Datos!L17,Datos!L17+Datos!AF17)," - ")</f>
        <v>136</v>
      </c>
      <c r="J17" s="415">
        <f>IF(ISNUMBER(I17/B17),I17/B17," - ")</f>
        <v>68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1210</v>
      </c>
      <c r="D18" s="996" t="str">
        <f>IF(ISNUMBER(C18/Datos!BI18),C18/Datos!BI18," - ")</f>
        <v xml:space="preserve"> - </v>
      </c>
      <c r="E18" s="995">
        <f>SUBTOTAL(9,E14:E17)</f>
        <v>1983</v>
      </c>
      <c r="F18" s="996">
        <f>IF(ISNUMBER(E18/B18),E18/B18," - ")</f>
        <v>495.75</v>
      </c>
      <c r="G18" s="995">
        <f>SUBTOTAL(9,G14:G17)</f>
        <v>1758</v>
      </c>
      <c r="H18" s="996">
        <f>IF(ISNUMBER(G18/B18),G18/B18," - ")</f>
        <v>439.5</v>
      </c>
      <c r="I18" s="995">
        <f>SUBTOTAL(9,I14:I17)</f>
        <v>1440</v>
      </c>
      <c r="J18" s="996">
        <f>IF(ISNUMBER(I18/B18),I18/B18," - ")</f>
        <v>360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4003</v>
      </c>
      <c r="D19" s="941" t="str">
        <f>IF(ISNUMBER(C19/Datos!BI19),C19/Datos!BI19," - ")</f>
        <v xml:space="preserve"> - </v>
      </c>
      <c r="E19" s="940">
        <f>SUBTOTAL(9,E9:E18)</f>
        <v>3812</v>
      </c>
      <c r="F19" s="941">
        <f>IF(ISNUMBER(E19/B19),E19/B19," - ")</f>
        <v>423.55555555555554</v>
      </c>
      <c r="G19" s="940">
        <f>SUBTOTAL(9,G9:G18)</f>
        <v>3295</v>
      </c>
      <c r="H19" s="941">
        <f>IF(ISNUMBER(G19/B19),G19/B19," - ")</f>
        <v>366.11111111111109</v>
      </c>
      <c r="I19" s="940">
        <f>SUBTOTAL(9,I9:I18)</f>
        <v>4525</v>
      </c>
      <c r="J19" s="941">
        <f>IF(ISNUMBER(I19/B19),I19/B19," - ")</f>
        <v>502.77777777777777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hy27sYcLYJA5VQltBuayjwGMfD0lCkA2IIowFVEXBj/uOsTM1+mFumDK4ZyjhWZL903RwwBt5T/UY7i2k2NkA==" saltValue="lRbIHAnL2KbnHZBhGzNc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CACERES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52</v>
      </c>
      <c r="G10" s="802">
        <f>IF(ISNUMBER(Datos!I10),Datos!I10," - ")</f>
        <v>52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80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11.428571428571429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52</v>
      </c>
      <c r="G13" s="1084">
        <f t="shared" si="0"/>
        <v>52</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0</v>
      </c>
      <c r="AE13" s="1085">
        <f t="shared" si="1"/>
        <v>0</v>
      </c>
      <c r="AF13" s="1085">
        <f t="shared" si="1"/>
        <v>80</v>
      </c>
      <c r="AG13" s="1085">
        <f t="shared" si="1"/>
        <v>0</v>
      </c>
      <c r="AH13" s="1085">
        <f t="shared" si="1"/>
        <v>0</v>
      </c>
      <c r="AI13" s="1085">
        <f t="shared" si="1"/>
        <v>0</v>
      </c>
      <c r="AJ13" s="1085">
        <f t="shared" si="1"/>
        <v>0</v>
      </c>
      <c r="AK13" s="1085">
        <f t="shared" si="1"/>
        <v>0</v>
      </c>
      <c r="AL13" s="1085">
        <f t="shared" si="1"/>
        <v>9</v>
      </c>
      <c r="AM13" s="1085">
        <f t="shared" si="1"/>
        <v>5</v>
      </c>
      <c r="AN13" s="1085">
        <f t="shared" si="1"/>
        <v>0</v>
      </c>
      <c r="AO13" s="1085">
        <f t="shared" si="1"/>
        <v>0</v>
      </c>
      <c r="AP13" s="1090">
        <f>IF(ISNUMBER(((Datos!L13/Datos!K13)*11)/factor_trimestre),((Datos!L13/Datos!K13)*11)/factor_trimestre," - ")</f>
        <v>6.3717008797653962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-0.40384615384615385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2.4573378839590441</v>
      </c>
      <c r="AQ18" s="1090">
        <f>IF(ISNUMBER(((Datos!M18/Datos!L18)*11)/factor_trimestre),((Datos!M18/Datos!L18)*11)/factor_trimestre," - ")</f>
        <v>0.44166666666666671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5.2173913043478258E-2</v>
      </c>
      <c r="AW18" s="1092">
        <f>IF(ISNUMBER((Datos!Q18-Datos!R18)/(Datos!S18-Datos!Q18+Datos!R18)),(Datos!Q18-Datos!R18)/(Datos!S18-Datos!Q18+Datos!R18)," - ")</f>
        <v>-0.44692737430167595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52</v>
      </c>
      <c r="G19" s="1097">
        <f t="shared" si="4"/>
        <v>52</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0</v>
      </c>
      <c r="AE19" s="1103">
        <f t="shared" si="5"/>
        <v>0</v>
      </c>
      <c r="AF19" s="1104">
        <f t="shared" si="5"/>
        <v>80</v>
      </c>
      <c r="AG19" s="1104">
        <f t="shared" si="5"/>
        <v>0</v>
      </c>
      <c r="AH19" s="1104">
        <f t="shared" si="5"/>
        <v>0</v>
      </c>
      <c r="AI19" s="1104">
        <f t="shared" si="5"/>
        <v>0</v>
      </c>
      <c r="AJ19" s="1105">
        <f t="shared" si="5"/>
        <v>0</v>
      </c>
      <c r="AK19" s="1105">
        <f t="shared" si="5"/>
        <v>0</v>
      </c>
      <c r="AL19" s="1097">
        <f t="shared" si="5"/>
        <v>9</v>
      </c>
      <c r="AM19" s="1097">
        <f t="shared" si="5"/>
        <v>5</v>
      </c>
      <c r="AN19" s="1097">
        <f t="shared" si="5"/>
        <v>0</v>
      </c>
      <c r="AO19" s="1097">
        <f t="shared" si="5"/>
        <v>0</v>
      </c>
      <c r="AP19" s="1097">
        <f>IF(ISNUMBER(((Datos!L19/Datos!K19)*11)/factor_trimestre),((Datos!L19/Datos!K19)*11)/factor_trimestre," - ")</f>
        <v>4.167520819987188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-0.40384615384615385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2.5586353944562899E-2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30.02221399786054</v>
      </c>
      <c r="G21" s="870">
        <f>IF(ISNUMBER(STDEV(G8:G18)),STDEV(G8:G18),"-")</f>
        <v>30.02221399786054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4.497725512639664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BsZt16a0H+9hiA+2SRJDEcgoogZTrQkGCEvWXqHm/1G3NCkxZq3inlBxXtZLweH3Fu01SwPS0Xgy5xCLs4Ncg==" saltValue="vTBLW9YCC3SJAJMSxkrt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CACERES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f>IF(ISNUMBER(E12/Datos!BH12),E12/Datos!BH12," - ")</f>
        <v>0</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f>IF(ISNUMBER(E16/Datos!BH16),E16/Datos!BH16," - ")</f>
        <v>0</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dejfv80fcHcNGRJh23RrxUN3FKd+6bBmKRV7HrgMU4IIJ6i0L209iFxHUvJQM2hQNiH9n6O1qFLP8eSsAKyVQ==" saltValue="DnrYQYtd2VlZb3u3OeOM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CACERES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394</v>
      </c>
      <c r="E9" s="415">
        <f t="shared" ref="E9:E13" si="0">IF(ISNUMBER(D9/B9),D9/B9," - ")</f>
        <v>78.8</v>
      </c>
      <c r="F9" s="414">
        <f>IF(ISNUMBER(Datos!N9),Datos!N9," - ")</f>
        <v>506</v>
      </c>
      <c r="G9" s="415">
        <f t="shared" ref="G9:G13" si="1">IF(ISNUMBER(F9/B9),F9/B9," - ")</f>
        <v>101.2</v>
      </c>
      <c r="H9" s="414">
        <f>IF(ISNUMBER(Datos!O9),Datos!O9," - ")</f>
        <v>515</v>
      </c>
      <c r="I9" s="415">
        <f>IF(ISNUMBER(H9/B9),H9/B9," - ")</f>
        <v>103</v>
      </c>
    </row>
    <row r="10" spans="1:9">
      <c r="A10" s="413" t="str">
        <f>Datos!A10</f>
        <v>Jdos. Violencia contra la mujer</v>
      </c>
      <c r="B10" s="443">
        <f>Datos!AO10</f>
        <v>2</v>
      </c>
      <c r="C10" s="421">
        <f>Datos!AQ10</f>
        <v>1</v>
      </c>
      <c r="D10" s="414">
        <f>IF(ISNUMBER(Datos!M10),Datos!M10," - ")</f>
        <v>9</v>
      </c>
      <c r="E10" s="415">
        <f>IF(ISNUMBER(D10/B10),D10/B10," - ")</f>
        <v>4.5</v>
      </c>
      <c r="F10" s="414">
        <f>IF(ISNUMBER(Datos!N10),Datos!N10," - ")</f>
        <v>5</v>
      </c>
      <c r="G10" s="415">
        <f>IF(ISNUMBER(F10/B10),F10/B10," - ")</f>
        <v>2.5</v>
      </c>
      <c r="H10" s="414">
        <f>IF(ISNUMBER(Datos!O10),Datos!O10," - ")</f>
        <v>8</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6</v>
      </c>
      <c r="D13" s="995">
        <f>SUBTOTAL(9,D9:D12)</f>
        <v>403</v>
      </c>
      <c r="E13" s="996">
        <f t="shared" si="0"/>
        <v>57.571428571428569</v>
      </c>
      <c r="F13" s="995">
        <f>SUBTOTAL(9,F9:F12)</f>
        <v>511</v>
      </c>
      <c r="G13" s="996">
        <f t="shared" si="1"/>
        <v>73</v>
      </c>
      <c r="H13" s="995">
        <f>SUBTOTAL(9,H9:H12)</f>
        <v>523</v>
      </c>
      <c r="I13" s="996">
        <f>IF(ISNUMBER(H13/B13),H13/B13," - ")</f>
        <v>74.714285714285708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124</v>
      </c>
      <c r="E15" s="415">
        <f t="shared" ref="E15:E18" si="3">IF(ISNUMBER(D15/B15),D15/B15," - ")</f>
        <v>41.333333333333336</v>
      </c>
      <c r="F15" s="414">
        <f>IF(ISNUMBER(Datos!N15),Datos!N15," - ")</f>
        <v>862</v>
      </c>
      <c r="G15" s="415">
        <f t="shared" ref="G15:G18" si="4">IF(ISNUMBER(F15/B15),F15/B15," - ")</f>
        <v>287.33333333333331</v>
      </c>
      <c r="H15" s="414">
        <f>IF(ISNUMBER(Datos!O15),Datos!O15," - ")</f>
        <v>8</v>
      </c>
      <c r="I15" s="415">
        <f t="shared" ref="I15:I17" si="5">IF(ISNUMBER(H15/B15),H15/B15," - ")</f>
        <v>2.6666666666666665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88</v>
      </c>
      <c r="E17" s="415">
        <f>IF(ISNUMBER(D17/B17),D17/B17," - ")</f>
        <v>44</v>
      </c>
      <c r="F17" s="414">
        <f>IF(ISNUMBER(Datos!N17),Datos!N17," - ")</f>
        <v>169</v>
      </c>
      <c r="G17" s="415">
        <f>IF(ISNUMBER(F17/B17),F17/B17," - ")</f>
        <v>84.5</v>
      </c>
      <c r="H17" s="414">
        <f>IF(ISNUMBER(Datos!O17),Datos!O17," - ")</f>
        <v>0</v>
      </c>
      <c r="I17" s="415">
        <f t="shared" si="5"/>
        <v>0</v>
      </c>
    </row>
    <row r="18" spans="1:9" ht="14.25" thickTop="1" thickBot="1">
      <c r="A18" s="994" t="str">
        <f>Datos!A18</f>
        <v>TOTAL</v>
      </c>
      <c r="B18" s="995">
        <f>Datos!AO18</f>
        <v>5</v>
      </c>
      <c r="C18" s="997">
        <f>Datos!AR18</f>
        <v>4</v>
      </c>
      <c r="D18" s="995">
        <f>SUBTOTAL(9,D15:D17)</f>
        <v>212</v>
      </c>
      <c r="E18" s="996">
        <f t="shared" si="3"/>
        <v>42.4</v>
      </c>
      <c r="F18" s="995">
        <f>SUBTOTAL(9,F15:F17)</f>
        <v>1031</v>
      </c>
      <c r="G18" s="996">
        <f t="shared" si="4"/>
        <v>206.2</v>
      </c>
      <c r="H18" s="995">
        <f>SUBTOTAL(9,H15:H17)</f>
        <v>8</v>
      </c>
      <c r="I18" s="996">
        <f>IF(ISNUMBER(H18/B18),H18/B18," - ")</f>
        <v>1.6</v>
      </c>
    </row>
    <row r="19" spans="1:9" ht="14.25" thickTop="1" thickBot="1">
      <c r="A19" s="939" t="str">
        <f>Datos!A19</f>
        <v>TOTAL JURISDICCIONES</v>
      </c>
      <c r="B19" s="940">
        <f>Datos!AP19</f>
        <v>9</v>
      </c>
      <c r="C19" s="940">
        <f>Datos!AR19</f>
        <v>9</v>
      </c>
      <c r="D19" s="940">
        <f>SUBTOTAL(9,D8:D18)</f>
        <v>615</v>
      </c>
      <c r="E19" s="941">
        <f>IF(ISNUMBER(D19/B19),D19/B19," - ")</f>
        <v>68.333333333333329</v>
      </c>
      <c r="F19" s="940">
        <f>SUBTOTAL(9,F8:F18)</f>
        <v>1542</v>
      </c>
      <c r="G19" s="941">
        <f>IF(ISNUMBER(F19/B19),F19/B19," - ")</f>
        <v>171.33333333333334</v>
      </c>
      <c r="H19" s="940">
        <f>SUBTOTAL(9,H8:H18)</f>
        <v>531</v>
      </c>
      <c r="I19" s="941">
        <f>IF(ISNUMBER(H19/B19),H19/B19," - ")</f>
        <v>59</v>
      </c>
    </row>
    <row r="22" spans="1:9">
      <c r="A22" s="402" t="str">
        <f>Criterios!A4</f>
        <v>Fecha Informe: 06 oct. 2023</v>
      </c>
    </row>
    <row r="27" spans="1:9">
      <c r="A27" s="425"/>
    </row>
  </sheetData>
  <sheetProtection algorithmName="SHA-512" hashValue="mAc2y0y7y6X9blQzEncentd5xqQO2KTIsTuPY2rUE2Gf5DTFBd0XiZCb2G1eYC7EQPybwiDYWVHogJGeemCDBg==" saltValue="jpuY2LoLF7O91EqRHCF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CACERES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338</v>
      </c>
      <c r="C9" s="450">
        <f>IF(ISNUMBER(Datos!Q9),Datos!Q9," - ")</f>
        <v>259</v>
      </c>
      <c r="D9" s="419">
        <f>IF(ISNUMBER(Datos!R9),Datos!R9," - ")</f>
        <v>3231</v>
      </c>
    </row>
    <row r="10" spans="1:4">
      <c r="A10" s="413" t="str">
        <f>Datos!A10</f>
        <v>Jdos. Violencia contra la mujer</v>
      </c>
      <c r="B10" s="449">
        <f>IF(ISNUMBER(Datos!P10),Datos!P10," - ")</f>
        <v>0</v>
      </c>
      <c r="C10" s="450">
        <f>IF(ISNUMBER(Datos!Q10),Datos!Q10," - ")</f>
        <v>1</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338</v>
      </c>
      <c r="C13" s="999">
        <f>SUBTOTAL(9,C9:C12)</f>
        <v>260</v>
      </c>
      <c r="D13" s="997">
        <f>SUBTOTAL(9,D9:D12)</f>
        <v>3246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39</v>
      </c>
      <c r="C15" s="450">
        <f>IF(ISNUMBER(Datos!Q15),Datos!Q15," - ")</f>
        <v>39</v>
      </c>
      <c r="D15" s="419">
        <f>IF(ISNUMBER(Datos!R15),Datos!R15," - ")</f>
        <v>112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2</v>
      </c>
      <c r="D17" s="419">
        <f>IF(ISNUMBER(Datos!R17),Datos!R17," - ")</f>
        <v>9</v>
      </c>
    </row>
    <row r="18" spans="1:4" ht="14.25" thickTop="1" thickBot="1">
      <c r="A18" s="994" t="str">
        <f>Datos!A18</f>
        <v>TOTAL</v>
      </c>
      <c r="B18" s="995">
        <f>SUBTOTAL(9,B15:B17)</f>
        <v>47</v>
      </c>
      <c r="C18" s="999">
        <f>SUBTOTAL(9,C15:C17)</f>
        <v>41</v>
      </c>
      <c r="D18" s="997">
        <f>SUBTOTAL(9,D15:D17)</f>
        <v>121</v>
      </c>
    </row>
    <row r="19" spans="1:4" ht="16.5" customHeight="1" thickTop="1" thickBot="1">
      <c r="A19" s="939" t="str">
        <f>Datos!A19</f>
        <v>TOTAL JURISDICCIONES</v>
      </c>
      <c r="B19" s="944">
        <f>SUBTOTAL(9,B8:B18)</f>
        <v>385</v>
      </c>
      <c r="C19" s="945">
        <f>SUBTOTAL(9,C8:C18)</f>
        <v>301</v>
      </c>
      <c r="D19" s="946">
        <f>SUBTOTAL(9,D8:D18)</f>
        <v>3367</v>
      </c>
    </row>
    <row r="20" spans="1:4" ht="7.5" customHeight="1"/>
    <row r="21" spans="1:4" ht="6" customHeight="1"/>
    <row r="22" spans="1:4">
      <c r="A22" s="402" t="str">
        <f>Criterios!A4</f>
        <v>Fecha Informe: 06 oct. 2023</v>
      </c>
    </row>
    <row r="27" spans="1:4">
      <c r="A27" s="425"/>
    </row>
  </sheetData>
  <sheetProtection algorithmName="SHA-512" hashValue="MuSHifhuDhXT6P7qyuRgJ004+3HGCRlYiRHvgDcpYrOMwWNDJ7JCwGE8U9lNBpnSEBePuKAFiZO8JtWB6+zT2g==" saltValue="5rqDSj12gYpRtm5BJvM8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CACERES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0.8571428571428571</v>
      </c>
      <c r="C10" s="472">
        <f>IF(ISNUMBER((Datos!J10-Datos!T10)/Datos!T10),(Datos!J10-Datos!T10)/Datos!T10," - ")</f>
        <v>1.0416666666666667</v>
      </c>
      <c r="D10" s="472">
        <f>IF(ISNUMBER((Datos!K10-Datos!U10)/Datos!U10),(Datos!K10-Datos!U10)/Datos!U10," - ")</f>
        <v>0.16666666666666666</v>
      </c>
      <c r="E10" s="472">
        <f>IF(ISNUMBER((Datos!L10-Datos!V10)/Datos!V10),(Datos!L10-Datos!V10)/Datos!V10," - ")</f>
        <v>1.3529411764705883</v>
      </c>
      <c r="F10" s="472">
        <f>IF(ISNUMBER((Datos!M10-Datos!W10)/Datos!W10),(Datos!M10-Datos!W10)/Datos!W10," - ")</f>
        <v>0.5</v>
      </c>
      <c r="G10" s="473">
        <f>IF(ISNUMBER((Datos!N10-Datos!X10)/Datos!X10),(Datos!N10-Datos!X10)/Datos!X10," - ")</f>
        <v>-0.58333333333333337</v>
      </c>
      <c r="H10" s="471">
        <f>IF(ISNUMBER(((NºAsuntos!G10/NºAsuntos!E10)-Datos!BD10)/Datos!BD10),((NºAsuntos!G10/NºAsuntos!E10)-Datos!BD10)/Datos!BD10," - ")</f>
        <v>-0.4285714285714286</v>
      </c>
      <c r="I10" s="472">
        <f>IF(ISNUMBER(((NºAsuntos!I10/NºAsuntos!G10)-Datos!BE10)/Datos!BE10),((NºAsuntos!I10/NºAsuntos!G10)-Datos!BE10)/Datos!BE10," - ")</f>
        <v>1.0168067226890756</v>
      </c>
      <c r="J10" s="477">
        <f>IF(ISNUMBER((('Resol  Asuntos'!D10/NºAsuntos!G10)-Datos!BF10)/Datos!BF10),(('Resol  Asuntos'!D10/NºAsuntos!G10)-Datos!BF10)/Datos!BF10," - ")</f>
        <v>0.2857142857142857</v>
      </c>
      <c r="K10" s="478">
        <f>IF(ISNUMBER((((NºAsuntos!C10+NºAsuntos!E10)/NºAsuntos!G10)-Datos!BG10)/Datos!BG10),(((NºAsuntos!C10+NºAsuntos!E10)/NºAsuntos!G10)-Datos!BG10)/Datos!BG10," - ")</f>
        <v>0.6648351648351648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98.75</v>
      </c>
      <c r="C13" s="1001">
        <f>IF(ISNUMBER(
   IF(J_V="SI",(Datos!J13-Datos!T13)/Datos!T13,(Datos!J13+Datos!Z13-(Datos!T13+Datos!AH13))/(Datos!T13+Datos!AH13))
     ),IF(J_V="SI",(Datos!J13-Datos!T13)/Datos!T13,(Datos!J13+Datos!Z13-(Datos!T13+Datos!AH13))/(Datos!T13+Datos!AH13))," - ")</f>
        <v>75.208333333333329</v>
      </c>
      <c r="D13" s="1001">
        <f>IF(ISNUMBER(
   IF(J_V="SI",(Datos!K13-Datos!U13)/Datos!U13,(Datos!K13+Datos!AA13-(Datos!U13+Datos!AI13))/(Datos!U13+Datos!AI13))
     ),IF(J_V="SI",(Datos!K13-Datos!U13)/Datos!U13,(Datos!K13+Datos!AA13-(Datos!U13+Datos!AI13))/(Datos!U13+Datos!AI13))," - ")</f>
        <v>84.388888888888886</v>
      </c>
      <c r="E13" s="1001">
        <f>IF(ISNUMBER(
   IF(J_V="SI",(Datos!L13-Datos!V13)/Datos!V13,(Datos!L13+Datos!AB13-(Datos!V13+Datos!AJ13))/(Datos!V13+Datos!AJ13))
     ),IF(J_V="SI",(Datos!L13-Datos!V13)/Datos!V13,(Datos!L13+Datos!AB13-(Datos!V13+Datos!AJ13))/(Datos!V13+Datos!AJ13))," - ")</f>
        <v>89.735294117647058</v>
      </c>
      <c r="F13" s="1002">
        <f>IF(ISNUMBER((Datos!M13-Datos!W13)/Datos!W13),(Datos!M13-Datos!W13)/Datos!W13," - ")</f>
        <v>66.166666666666671</v>
      </c>
      <c r="G13" s="1003">
        <f>IF(ISNUMBER((Datos!N13-Datos!X13)/Datos!X13),(Datos!N13-Datos!X13)/Datos!X13," - ")</f>
        <v>41.583333333333336</v>
      </c>
      <c r="H13" s="1003">
        <f>IF(ISNUMBER(((NºAsuntos!G13/NºAsuntos!E13)-Datos!BD13)/Datos!BD13),((NºAsuntos!G13/NºAsuntos!E13)-Datos!BD13)/Datos!BD13," - ")</f>
        <v>0.12046655731729539</v>
      </c>
      <c r="I13" s="1003">
        <f>IF(ISNUMBER(((NºAsuntos!I13/NºAsuntos!G13)-Datos!BE13)/Datos!BE13),((NºAsuntos!I13/NºAsuntos!G13)-Datos!BE13)/Datos!BE13," - ")</f>
        <v>6.2612422978300025E-2</v>
      </c>
      <c r="J13" s="1003">
        <f>IF(ISNUMBER((('Resol  Asuntos'!D13/NºAsuntos!G13)-Datos!BF13)/Datos!BF13),(('Resol  Asuntos'!D13/NºAsuntos!G13)-Datos!BF13)/Datos!BF13," - ")</f>
        <v>-0.21340273259596615</v>
      </c>
      <c r="K13" s="1003">
        <f>IF(ISNUMBER((((NºAsuntos!C13+NºAsuntos!E13)/NºAsuntos!G13)-Datos!BG13)/Datos!BG13),(((NºAsuntos!C13+NºAsuntos!E13)/NºAsuntos!G13)-Datos!BG13)/Datos!BG13," - ")</f>
        <v>4.0938891947350016E-2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0.28282828282828282</v>
      </c>
      <c r="C17" s="472">
        <f>IF(ISNUMBER(
   IF(D_I="SI",(Datos!J17-Datos!T17)/Datos!T17,(Datos!J17+Datos!AD17-(Datos!T17+Datos!AL17))/(Datos!T17+Datos!AL17))
     ),IF(D_I="SI",(Datos!J17-Datos!T17)/Datos!T17,(Datos!J17+Datos!AD17-(Datos!T17+Datos!AL17))/(Datos!T17+Datos!AL17))," - ")</f>
        <v>1.2238805970149254</v>
      </c>
      <c r="D17" s="472">
        <f>IF(ISNUMBER(
   IF(D_I="SI",(Datos!K17-Datos!U17)/Datos!U17,(Datos!K17+Datos!AE17-(Datos!U17+Datos!AM17))/(Datos!U17+Datos!AM17))
     ),IF(D_I="SI",(Datos!K17-Datos!U17)/Datos!U17,(Datos!K17+Datos!AE17-(Datos!U17+Datos!AM17))/(Datos!U17+Datos!AM17))," - ")</f>
        <v>1.4606741573033708</v>
      </c>
      <c r="E17" s="472">
        <f>IF(ISNUMBER(
   IF(D_I="SI",(Datos!L17-Datos!V17)/Datos!V17,(Datos!L17+Datos!AF17-(Datos!V17+Datos!AN17))/(Datos!V17+Datos!AN17))
     ),IF(D_I="SI",(Datos!L17-Datos!V17)/Datos!V17,(Datos!L17+Datos!AF17-(Datos!V17+Datos!AN17))/(Datos!V17+Datos!AN17))," - ")</f>
        <v>0.11475409836065574</v>
      </c>
      <c r="F17" s="472">
        <f>IF(ISNUMBER((Datos!M17-Datos!W17)/Datos!W17),(Datos!M17-Datos!W17)/Datos!W17," - ")</f>
        <v>1.6666666666666667</v>
      </c>
      <c r="G17" s="473">
        <f>IF(ISNUMBER((Datos!N17-Datos!X17)/Datos!X17),(Datos!N17-Datos!X17)/Datos!X17," - ")</f>
        <v>0.65686274509803921</v>
      </c>
      <c r="H17" s="471">
        <f>IF(ISNUMBER(((NºAsuntos!G17/NºAsuntos!E17)-Datos!BD17)/Datos!BD17),((NºAsuntos!G17/NºAsuntos!E17)-Datos!BD17)/Datos!BD17," - ")</f>
        <v>0.10647764120352922</v>
      </c>
      <c r="I17" s="472">
        <f>IF(ISNUMBER(((NºAsuntos!I17/NºAsuntos!G17)-Datos!BE17)/Datos!BE17),((NºAsuntos!I17/NºAsuntos!G17)-Datos!BE17)/Datos!BE17," - ")</f>
        <v>-0.54697207874840936</v>
      </c>
      <c r="J17" s="477">
        <f>IF(ISNUMBER((('Resol  Asuntos'!D17/NºAsuntos!G17)-Datos!BF17)/Datos!BF17),(('Resol  Asuntos'!D17/NºAsuntos!G17)-Datos!BF17)/Datos!BF17," - ")</f>
        <v>8.3713850837138393E-2</v>
      </c>
      <c r="K17" s="478">
        <f>IF(ISNUMBER((((NºAsuntos!C17+NºAsuntos!E17)/NºAsuntos!G17)-Datos!BG17)/Datos!BG17),(((NºAsuntos!C17+NºAsuntos!E17)/NºAsuntos!G17)-Datos!BG17)/Datos!BG17," - ")</f>
        <v>-0.22243531202435307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11.222222222222221</v>
      </c>
      <c r="C18" s="1001">
        <f>IF(ISNUMBER(
   IF(Criterios!B14="SI",(Datos!J18-Datos!T18)/Datos!T18,(Datos!J18+Datos!AD18-(Datos!T18+Datos!AL18))/(Datos!T18+Datos!AL18))
     ),IF(Criterios!B14="SI",(Datos!J18-Datos!T18)/Datos!T18,(Datos!J18+Datos!AD18-(Datos!T18+Datos!AL18))/(Datos!T18+Datos!AL18))," - ")</f>
        <v>8.8656716417910442</v>
      </c>
      <c r="D18" s="1001">
        <f>IF(ISNUMBER(
   IF(Criterios!B14="SI",(Datos!K18-Datos!U18)/Datos!U18,(Datos!K18+Datos!AE18-(Datos!U18+Datos!AM18))/(Datos!U18+Datos!AM18))
     ),IF(Criterios!B14="SI",(Datos!K18-Datos!U18)/Datos!U18,(Datos!K18+Datos!AE18-(Datos!U18+Datos!AM18))/(Datos!U18+Datos!AM18))," - ")</f>
        <v>8.8764044943820224</v>
      </c>
      <c r="E18" s="1001">
        <f>IF(ISNUMBER(
   IF(Criterios!B14="SI",(Datos!L18-Datos!V18)/Datos!V18,(Datos!L18+Datos!AF18-(Datos!V18+Datos!AN18))/(Datos!V18+Datos!AN18))
     ),IF(Criterios!B14="SI",(Datos!L18-Datos!V18)/Datos!V18,(Datos!L18+Datos!AF18-(Datos!V18+Datos!AN18))/(Datos!V18+Datos!AN18))," - ")</f>
        <v>10.803278688524591</v>
      </c>
      <c r="F18" s="1002">
        <f>IF(ISNUMBER((Datos!M18-Datos!W18)/Datos!W18),(Datos!M18-Datos!W18)/Datos!W18," - ")</f>
        <v>5.4242424242424239</v>
      </c>
      <c r="G18" s="1003">
        <f>IF(ISNUMBER((Datos!N18-Datos!X18)/Datos!X18),(Datos!N18-Datos!X18)/Datos!X18," - ")</f>
        <v>9.1078431372549016</v>
      </c>
      <c r="H18" s="1003">
        <f>IF(ISNUMBER(((NºAsuntos!G18/NºAsuntos!E18)-Datos!BD18)/Datos!BD18),((NºAsuntos!G18/NºAsuntos!E18)-Datos!BD18)/Datos!BD18," - ")</f>
        <v>1.0878988254092775E-3</v>
      </c>
      <c r="I18" s="1003">
        <f>IF(ISNUMBER(((NºAsuntos!I18/NºAsuntos!G18)-Datos!BE18)/Datos!BE18),((NºAsuntos!I18/NºAsuntos!G18)-Datos!BE18)/Datos!BE18," - ")</f>
        <v>0.19509875230795048</v>
      </c>
      <c r="J18" s="1003">
        <f>IF(ISNUMBER((('Resol  Asuntos'!D18/NºAsuntos!G18)-Datos!BF18)/Datos!BF18),(('Resol  Asuntos'!D18/NºAsuntos!G18)-Datos!BF18)/Datos!BF18," - ")</f>
        <v>-0.34953631881959529</v>
      </c>
      <c r="K18" s="1003">
        <f>IF(ISNUMBER((((NºAsuntos!C18+NºAsuntos!E18)/NºAsuntos!G18)-Datos!BG18)/Datos!BG18),(((NºAsuntos!C18+NºAsuntos!E18)/NºAsuntos!G18)-Datos!BG18)/Datos!BG18," - ")</f>
        <v>7.7652635570724313E-2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30.519685039370078</v>
      </c>
      <c r="C19" s="948">
        <f>IF(ISNUMBER(
   IF(J_V="SI",(Datos!J19-Datos!T19)/Datos!T19,(Datos!J19+Datos!Z19-(Datos!T19+Datos!AH19))/(Datos!T19+Datos!AH19))
     ),IF(J_V="SI",(Datos!J19-Datos!T19)/Datos!T19,(Datos!J19+Datos!Z19-(Datos!T19+Datos!AH19))/(Datos!T19+Datos!AH19))," - ")</f>
        <v>15.942222222222222</v>
      </c>
      <c r="D19" s="948">
        <f>IF(ISNUMBER(
   IF(J_V="SI",(Datos!K19-Datos!U19)/Datos!U19,(Datos!K19+Datos!AA19-(Datos!U19+Datos!AI19))/(Datos!U19+Datos!AI19))
     ),IF(J_V="SI",(Datos!K19-Datos!U19)/Datos!U19,(Datos!K19+Datos!AA19-(Datos!U19+Datos!AI19))/(Datos!U19+Datos!AI19))," - ")</f>
        <v>15.811224489795919</v>
      </c>
      <c r="E19" s="948">
        <f>IF(ISNUMBER(
   IF(J_V="SI",(Datos!L19-Datos!V19)/Datos!V19,(Datos!L19+Datos!AB19-(Datos!V19+Datos!AJ19))/(Datos!V19+Datos!AJ19))
     ),IF(J_V="SI",(Datos!L19-Datos!V19)/Datos!V19,(Datos!L19+Datos!AB19-(Datos!V19+Datos!AJ19))/(Datos!V19+Datos!AJ19))," - ")</f>
        <v>28.006410256410255</v>
      </c>
      <c r="F19" s="949">
        <f>IF(ISNUMBER((Datos!M19-Datos!W19)/Datos!W19),(Datos!M19-Datos!W19)/Datos!W19," - ")</f>
        <v>14.76923076923077</v>
      </c>
      <c r="G19" s="950">
        <f>IF(ISNUMBER((Datos!N19-Datos!X19)/Datos!X19),(Datos!N19-Datos!X19)/Datos!X19," - ")</f>
        <v>12.526315789473685</v>
      </c>
      <c r="H19" s="951">
        <f>IF(ISNUMBER((Tasas!B19-Datos!BD19)/Datos!BD19),(Tasas!B19-Datos!BD19)/Datos!BD19," - ")</f>
        <v>-7.7320277533888364E-3</v>
      </c>
      <c r="I19" s="952">
        <f>IF(ISNUMBER((Tasas!C19-Datos!BE19)/Datos!BE19),(Tasas!C19-Datos!BE19)/Datos!BE19," - ")</f>
        <v>0.72541924438737793</v>
      </c>
      <c r="J19" s="953">
        <f>IF(ISNUMBER((Tasas!D19-Datos!BF19)/Datos!BF19),(Tasas!D19-Datos!BF19)/Datos!BF19," - ")</f>
        <v>-6.1982024045757034E-2</v>
      </c>
      <c r="K19" s="953">
        <f>IF(ISNUMBER((Tasas!E19-Datos!BG19)/Datos!BG19),(Tasas!E19-Datos!BG19)/Datos!BG19," - ")</f>
        <v>0.3206476755414539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IWyYhd8H2eiOomFSVQ4ke7JwUX7iNZWmGQ3+f2c/s1qUXtGkg8ppR7Lq8FYV9ac1Ug2vgoNfNVjJsP4/F65A==" saltValue="9f7UvQh4rRLrG4Ru+yHB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CACERES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0.85168539325842696</v>
      </c>
      <c r="C9" s="459">
        <f>IF(ISNUMBER(NºAsuntos!I9/NºAsuntos!G9),NºAsuntos!I9/NºAsuntos!G9," - ")</f>
        <v>1.9821899736147757</v>
      </c>
      <c r="D9" s="460">
        <f>IF(ISNUMBER('Resol  Asuntos'!D9/NºAsuntos!G9),'Resol  Asuntos'!D9/NºAsuntos!G9," - ")</f>
        <v>0.25989445910290238</v>
      </c>
      <c r="E9" s="461">
        <f>IF(ISNUMBER((NºAsuntos!C9+NºAsuntos!E9)/NºAsuntos!G9),(NºAsuntos!C9+NºAsuntos!E9)/NºAsuntos!G9," - ")</f>
        <v>2.9821899736147759</v>
      </c>
      <c r="G9" s="479"/>
    </row>
    <row r="10" spans="1:7">
      <c r="A10" s="413" t="str">
        <f>Datos!A10</f>
        <v>Jdos. Violencia contra la mujer</v>
      </c>
      <c r="B10" s="458">
        <f>IF(ISNUMBER(NºAsuntos!G10/NºAsuntos!E10),NºAsuntos!G10/NºAsuntos!E10," - ")</f>
        <v>0.42857142857142855</v>
      </c>
      <c r="C10" s="459">
        <f>IF(ISNUMBER(NºAsuntos!I10/NºAsuntos!G10),NºAsuntos!I10/NºAsuntos!G10," - ")</f>
        <v>3.8095238095238093</v>
      </c>
      <c r="D10" s="460">
        <f>IF(ISNUMBER('Resol  Asuntos'!D10/NºAsuntos!G10),'Resol  Asuntos'!D10/NºAsuntos!G10," - ")</f>
        <v>0.42857142857142855</v>
      </c>
      <c r="E10" s="461">
        <f>IF(ISNUMBER((NºAsuntos!C10+NºAsuntos!E10)/NºAsuntos!G10),(NºAsuntos!C10+NºAsuntos!E10)/NºAsuntos!G10," - ")</f>
        <v>4.8095238095238093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0.84034991798797154</v>
      </c>
      <c r="C13" s="1005">
        <f>IF(ISNUMBER(NºAsuntos!I13/NºAsuntos!G13),NºAsuntos!I13/NºAsuntos!G13," - ")</f>
        <v>2.0071567989590111</v>
      </c>
      <c r="D13" s="1006">
        <f>IF(ISNUMBER('Resol  Asuntos'!D13/NºAsuntos!G13),'Resol  Asuntos'!D13/NºAsuntos!G13," - ")</f>
        <v>0.26219908913467793</v>
      </c>
      <c r="E13" s="1007">
        <f>IF(ISNUMBER((NºAsuntos!C13+NºAsuntos!E13)/NºAsuntos!G13),(NºAsuntos!C13+NºAsuntos!E13)/NºAsuntos!G13," - ")</f>
        <v>3.0071567989590111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0.859375</v>
      </c>
      <c r="C15" s="459">
        <f>IF(ISNUMBER(NºAsuntos!I15/NºAsuntos!G15),NºAsuntos!I15/NºAsuntos!G15," - ")</f>
        <v>0.98787878787878791</v>
      </c>
      <c r="D15" s="460">
        <f>IF(ISNUMBER('Resol  Asuntos'!D15/NºAsuntos!G15),'Resol  Asuntos'!D15/NºAsuntos!G15," - ")</f>
        <v>9.3939393939393934E-2</v>
      </c>
      <c r="E15" s="461">
        <f>IF(ISNUMBER((NºAsuntos!C15+NºAsuntos!E15)/NºAsuntos!G15),(NºAsuntos!C15+NºAsuntos!E15)/NºAsuntos!G15," - ")</f>
        <v>1.9840909090909091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0.97986577181208057</v>
      </c>
      <c r="C17" s="459">
        <f>IF(ISNUMBER(NºAsuntos!I17/NºAsuntos!G17),NºAsuntos!I17/NºAsuntos!G17," - ")</f>
        <v>0.31050228310502281</v>
      </c>
      <c r="D17" s="460">
        <f>IF(ISNUMBER('Resol  Asuntos'!D17/NºAsuntos!G17),'Resol  Asuntos'!D17/NºAsuntos!G17," - ")</f>
        <v>0.20091324200913241</v>
      </c>
      <c r="E17" s="461">
        <f>IF(ISNUMBER((NºAsuntos!C17+NºAsuntos!E17)/NºAsuntos!G17),(NºAsuntos!C17+NºAsuntos!E17)/NºAsuntos!G17," - ")</f>
        <v>1.3105022831050228</v>
      </c>
      <c r="G17" s="479"/>
    </row>
    <row r="18" spans="1:7" ht="14.25" thickTop="1" thickBot="1">
      <c r="A18" s="994" t="str">
        <f>Datos!A18</f>
        <v>TOTAL</v>
      </c>
      <c r="B18" s="1004">
        <f>IF(ISNUMBER(NºAsuntos!G18/NºAsuntos!E18),NºAsuntos!G18/NºAsuntos!E18," - ")</f>
        <v>0.88653555219364599</v>
      </c>
      <c r="C18" s="1005">
        <f>IF(ISNUMBER(NºAsuntos!I18/NºAsuntos!G18),NºAsuntos!I18/NºAsuntos!G18," - ")</f>
        <v>0.8191126279863481</v>
      </c>
      <c r="D18" s="1008">
        <f>IF(ISNUMBER('Resol  Asuntos'!D18/NºAsuntos!G18),'Resol  Asuntos'!D18/NºAsuntos!G18," - ")</f>
        <v>0.12059158134243458</v>
      </c>
      <c r="E18" s="1007">
        <f>IF(ISNUMBER((NºAsuntos!C18+NºAsuntos!E18)/NºAsuntos!G18),(NºAsuntos!C18+NºAsuntos!E18)/NºAsuntos!G18," - ")</f>
        <v>1.816268486916951</v>
      </c>
      <c r="G18" s="479"/>
    </row>
    <row r="19" spans="1:7" ht="15.75" customHeight="1" thickTop="1" thickBot="1">
      <c r="A19" s="939" t="str">
        <f>Datos!A19</f>
        <v>TOTAL JURISDICCIONES</v>
      </c>
      <c r="B19" s="954">
        <f>IF(ISNUMBER(NºAsuntos!G19/NºAsuntos!E19),NºAsuntos!G19/NºAsuntos!E19," - ")</f>
        <v>0.86437565582371456</v>
      </c>
      <c r="C19" s="955">
        <f>IF(ISNUMBER(NºAsuntos!I19/NºAsuntos!G19),NºAsuntos!I19/NºAsuntos!G19," - ")</f>
        <v>1.3732928679817906</v>
      </c>
      <c r="D19" s="956">
        <f>IF(ISNUMBER('Resol  Asuntos'!D19/NºAsuntos!G19),'Resol  Asuntos'!D19/NºAsuntos!G19," - ")</f>
        <v>0.18664643399089528</v>
      </c>
      <c r="E19" s="957">
        <f>IF(ISNUMBER((NºAsuntos!C19+NºAsuntos!E19)/NºAsuntos!G19),(NºAsuntos!C19+NºAsuntos!E19)/NºAsuntos!G19," - ")</f>
        <v>2.3717754172989376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2Nmt9UkddDQGuQArlFq/tdmqtY7Dgwn5qjCEepQTR4lWrX0ZwqZogdPBQ5g5TUN1iHcv2bfpO9hruORNG2+3Q==" saltValue="0cVDJ4SQP7IgH60+pYGO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CACERES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338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259</v>
      </c>
      <c r="Y9" s="343">
        <f>SUM(W9:X9)</f>
        <v>259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3231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394</v>
      </c>
      <c r="AJ9" s="233" t="str">
        <f>IF(ISNUMBER(Datos!BW9),Datos!BW9," - ")</f>
        <v xml:space="preserve"> - </v>
      </c>
      <c r="AK9" s="232" t="str">
        <f>IF(ISNUMBER(Datos!BX9),Datos!BX9," - ")</f>
        <v xml:space="preserve"> - </v>
      </c>
      <c r="AL9" s="247">
        <f>IF(ISNUMBER(NºAsuntos!G9/NºAsuntos!E9),NºAsuntos!G9/NºAsuntos!E9," - ")</f>
        <v>0.85168539325842696</v>
      </c>
      <c r="AM9" s="264">
        <f>IF(ISNUMBER(((NºAsuntos!I9/NºAsuntos!G9)*11)/factor_trimestre),((NºAsuntos!I9/NºAsuntos!G9)*11)/factor_trimestre," - ")</f>
        <v>5.9465699208443272</v>
      </c>
      <c r="AN9" s="248">
        <f>IF(ISNUMBER('Resol  Asuntos'!D9/NºAsuntos!G9),'Resol  Asuntos'!D9/NºAsuntos!G9," - ")</f>
        <v>0.25989445910290238</v>
      </c>
      <c r="AO9" s="249">
        <f>IF(ISNUMBER((NºAsuntos!C9+NºAsuntos!E9)/NºAsuntos!G9),(NºAsuntos!C9+NºAsuntos!E9)/NºAsuntos!G9," - ")</f>
        <v>2.9821899736147759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52</v>
      </c>
      <c r="G10" s="342">
        <f>IF(ISNUMBER(Datos!I10),Datos!I10," - ")</f>
        <v>52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1</v>
      </c>
      <c r="Y10" s="343">
        <f t="shared" ref="Y10:Y12" si="0">SUM(W10:X10)</f>
        <v>22</v>
      </c>
      <c r="Z10" s="344" t="str">
        <f>IF(ISNUMBER(Datos!CC10),Datos!CC10," - ")</f>
        <v xml:space="preserve"> - </v>
      </c>
      <c r="AA10" s="341">
        <f>IF(ISNUMBER(Datos!L10),Datos!L10,"-")</f>
        <v>80</v>
      </c>
      <c r="AB10" s="343">
        <f>IF(ISNUMBER(Datos!R10),Datos!R10," - ")</f>
        <v>15</v>
      </c>
      <c r="AC10" s="343">
        <f t="shared" ref="AC10:AC12" si="1">IF(ISNUMBER(AA10+AB10),AA10+AB10," - ")</f>
        <v>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0.42857142857142855</v>
      </c>
      <c r="AM10" s="264">
        <f>IF(ISNUMBER(((NºAsuntos!I10/NºAsuntos!G10)*11)/factor_trimestre),((NºAsuntos!I10/NºAsuntos!G10)*11)/factor_trimestre," - ")</f>
        <v>11.428571428571429</v>
      </c>
      <c r="AN10" s="248">
        <f>IF(ISNUMBER('Resol  Asuntos'!D10/NºAsuntos!G10),'Resol  Asuntos'!D10/NºAsuntos!G10," - ")</f>
        <v>0.42857142857142855</v>
      </c>
      <c r="AO10" s="249">
        <f>IF(ISNUMBER((NºAsuntos!C10+NºAsuntos!E10)/NºAsuntos!G10),(NºAsuntos!C10+NºAsuntos!E10)/NºAsuntos!G10," - ")</f>
        <v>4.8095238095238093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52</v>
      </c>
      <c r="G13" s="1012">
        <f t="shared" si="3"/>
        <v>52</v>
      </c>
      <c r="H13" s="1011">
        <f t="shared" si="3"/>
        <v>0</v>
      </c>
      <c r="I13" s="1013">
        <f t="shared" si="3"/>
        <v>0</v>
      </c>
      <c r="J13" s="1013">
        <f t="shared" si="3"/>
        <v>0</v>
      </c>
      <c r="K13" s="1013">
        <f t="shared" si="3"/>
        <v>0</v>
      </c>
      <c r="L13" s="1013">
        <f t="shared" si="3"/>
        <v>338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260</v>
      </c>
      <c r="Y13" s="1014">
        <f t="shared" si="4"/>
        <v>281</v>
      </c>
      <c r="Z13" s="1014">
        <f t="shared" si="4"/>
        <v>0</v>
      </c>
      <c r="AA13" s="1014">
        <f t="shared" si="4"/>
        <v>80</v>
      </c>
      <c r="AB13" s="1014">
        <f t="shared" si="4"/>
        <v>3246</v>
      </c>
      <c r="AC13" s="1014">
        <f t="shared" si="4"/>
        <v>95</v>
      </c>
      <c r="AD13" s="1014">
        <f t="shared" si="4"/>
        <v>0</v>
      </c>
      <c r="AE13" s="1018">
        <f t="shared" si="4"/>
        <v>0</v>
      </c>
      <c r="AF13" s="1011">
        <f t="shared" si="4"/>
        <v>0</v>
      </c>
      <c r="AG13" s="1019">
        <f t="shared" si="4"/>
        <v>0</v>
      </c>
      <c r="AH13" s="1016">
        <f t="shared" si="4"/>
        <v>0</v>
      </c>
      <c r="AI13" s="1011">
        <f t="shared" si="4"/>
        <v>403</v>
      </c>
      <c r="AJ13" s="1013">
        <f t="shared" si="4"/>
        <v>0</v>
      </c>
      <c r="AK13" s="1016">
        <f>SUBTOTAL(9,AK9:AK12)</f>
        <v>0</v>
      </c>
      <c r="AL13" s="1020">
        <f>IF(ISNUMBER(NºAsuntos!G13/NºAsuntos!E13),NºAsuntos!G13/NºAsuntos!E13," - ")</f>
        <v>0.84034991798797154</v>
      </c>
      <c r="AM13" s="1020">
        <f>IF(ISNUMBER(((NºAsuntos!I13/NºAsuntos!G13)*11)/factor_trimestre),((NºAsuntos!I13/NºAsuntos!G13)*11)/factor_trimestre," - ")</f>
        <v>6.0214703968770342</v>
      </c>
      <c r="AN13" s="1021">
        <f>IF(ISNUMBER('Resol  Asuntos'!D13/NºAsuntos!G13),'Resol  Asuntos'!D13/NºAsuntos!G13," - ")</f>
        <v>0.26219908913467793</v>
      </c>
      <c r="AO13" s="1022">
        <f>IF(ISNUMBER((NºAsuntos!C13+NºAsuntos!E13)/NºAsuntos!G13),(NºAsuntos!C13+NºAsuntos!E13)/NºAsuntos!G13," - ")</f>
        <v>3.0071567989590111</v>
      </c>
      <c r="AP13" s="1023" t="str">
        <f t="shared" si="2"/>
        <v xml:space="preserve"> - </v>
      </c>
      <c r="AQ13" s="1023">
        <f>IF(ISNUMBER((H13-W13+K13)/(F13)),(H13-W13+K13)/(F13)," - ")</f>
        <v>-0.40384615384615385</v>
      </c>
      <c r="AR13" s="1024">
        <f>IF(ISNUMBER((Datos!P13-Datos!Q13)/(Datos!R13-Datos!P13+Datos!Q13)),(Datos!P13-Datos!Q13)/(Datos!R13-Datos!P13+Datos!Q13)," - ")</f>
        <v>2.462121212121212E-2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1088</v>
      </c>
      <c r="G15" s="342">
        <f>IF(ISNUMBER(IF(D_I="SI",Datos!I15,Datos!I15+Datos!AC15)),IF(D_I="SI",Datos!I15,Datos!I15+Datos!AC15)," - ")</f>
        <v>1083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1320</v>
      </c>
      <c r="X15" s="230">
        <f>IF(ISNUMBER(Datos!Q15),Datos!Q15," - ")</f>
        <v>39</v>
      </c>
      <c r="Y15" s="343">
        <f>SUM(W15)</f>
        <v>1320</v>
      </c>
      <c r="Z15" s="344" t="str">
        <f>IF(ISNUMBER(Datos!CC15),Datos!CC15," - ")</f>
        <v xml:space="preserve"> - </v>
      </c>
      <c r="AA15" s="341">
        <f>IF(ISNUMBER(IF(D_I="SI",Datos!L15,Datos!L15+Datos!AF15)),IF(D_I="SI",Datos!L15,Datos!L15+Datos!AF15)," - ")</f>
        <v>1304</v>
      </c>
      <c r="AB15" s="343">
        <f>IF(ISNUMBER(Datos!R15),Datos!R15," - ")</f>
        <v>112</v>
      </c>
      <c r="AC15" s="343">
        <f t="shared" ref="AC15:AC17" si="6">IF(ISNUMBER(AA15+AB15),AA15+AB15," - ")</f>
        <v>1416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124</v>
      </c>
      <c r="AJ15" s="235" t="str">
        <f>IF(ISNUMBER(Datos!BW15),Datos!BW15," - ")</f>
        <v xml:space="preserve"> - </v>
      </c>
      <c r="AK15" s="236" t="str">
        <f>IF(ISNUMBER(Datos!BX15),Datos!BX15," - ")</f>
        <v xml:space="preserve"> - </v>
      </c>
      <c r="AL15" s="247">
        <f>IF(ISNUMBER(NºAsuntos!G15/NºAsuntos!E15),NºAsuntos!G15/NºAsuntos!E15," - ")</f>
        <v>0.859375</v>
      </c>
      <c r="AM15" s="264">
        <f>IF(ISNUMBER(((NºAsuntos!I15/NºAsuntos!G15)*11)/factor_trimestre),((NºAsuntos!I15/NºAsuntos!G15)*11)/factor_trimestre," - ")</f>
        <v>2.9636363636363638</v>
      </c>
      <c r="AN15" s="248">
        <f>IF(ISNUMBER('Resol  Asuntos'!D15/NºAsuntos!G15),'Resol  Asuntos'!D15/NºAsuntos!G15," - ")</f>
        <v>9.3939393939393934E-2</v>
      </c>
      <c r="AO15" s="249">
        <f>IF(ISNUMBER((NºAsuntos!C15+NºAsuntos!E15)/NºAsuntos!G15),(NºAsuntos!C15+NºAsuntos!E15)/NºAsuntos!G15," - ")</f>
        <v>1.9840909090909091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438</v>
      </c>
      <c r="X17" s="230">
        <f>IF(ISNUMBER(Datos!Q17),Datos!Q17," - ")</f>
        <v>2</v>
      </c>
      <c r="Y17" s="343">
        <f t="shared" si="7"/>
        <v>440</v>
      </c>
      <c r="Z17" s="344" t="str">
        <f>IF(ISNUMBER(Datos!CC17),Datos!CC17," - ")</f>
        <v xml:space="preserve"> - </v>
      </c>
      <c r="AA17" s="341">
        <f>IF(ISNUMBER(Datos!L17),Datos!L17,"-")</f>
        <v>136</v>
      </c>
      <c r="AB17" s="343">
        <f>IF(ISNUMBER(Datos!R17),Datos!R17," - ")</f>
        <v>9</v>
      </c>
      <c r="AC17" s="343">
        <f t="shared" si="6"/>
        <v>145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88</v>
      </c>
      <c r="AJ17" s="235" t="str">
        <f>IF(ISNUMBER(Datos!BW17),Datos!BW17," - ")</f>
        <v xml:space="preserve"> - </v>
      </c>
      <c r="AK17" s="236" t="str">
        <f>IF(ISNUMBER(Datos!BX17),Datos!BX17," - ")</f>
        <v xml:space="preserve"> - </v>
      </c>
      <c r="AL17" s="247">
        <f>IF(ISNUMBER(NºAsuntos!G17/NºAsuntos!E17),NºAsuntos!G17/NºAsuntos!E17," - ")</f>
        <v>0.97986577181208057</v>
      </c>
      <c r="AM17" s="264">
        <f>IF(ISNUMBER(((NºAsuntos!I17/NºAsuntos!G17)*11)/factor_trimestre),((NºAsuntos!I17/NºAsuntos!G17)*11)/factor_trimestre," - ")</f>
        <v>0.93150684931506855</v>
      </c>
      <c r="AN17" s="248">
        <f>IF(ISNUMBER('Resol  Asuntos'!D17/NºAsuntos!G17),'Resol  Asuntos'!D17/NºAsuntos!G17," - ")</f>
        <v>0.20091324200913241</v>
      </c>
      <c r="AO17" s="249">
        <f>IF(ISNUMBER((NºAsuntos!C17+NºAsuntos!E17)/NºAsuntos!G17),(NºAsuntos!C17+NºAsuntos!E17)/NºAsuntos!G17," - ")</f>
        <v>1.3105022831050228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1088</v>
      </c>
      <c r="G18" s="1012">
        <f>SUBTOTAL(9,G15:G17)</f>
        <v>1210</v>
      </c>
      <c r="H18" s="1011">
        <f t="shared" ref="H18:O18" si="10">SUBTOTAL(9,H14:H17)</f>
        <v>0</v>
      </c>
      <c r="I18" s="1013">
        <f t="shared" si="10"/>
        <v>0</v>
      </c>
      <c r="J18" s="1013">
        <f t="shared" si="10"/>
        <v>0</v>
      </c>
      <c r="K18" s="1013">
        <f t="shared" si="10"/>
        <v>0</v>
      </c>
      <c r="L18" s="1013">
        <f t="shared" si="10"/>
        <v>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1758</v>
      </c>
      <c r="X18" s="1013">
        <f t="shared" si="11"/>
        <v>41</v>
      </c>
      <c r="Y18" s="1014">
        <f t="shared" si="11"/>
        <v>1760</v>
      </c>
      <c r="Z18" s="1014">
        <f t="shared" si="11"/>
        <v>0</v>
      </c>
      <c r="AA18" s="1014">
        <f t="shared" si="11"/>
        <v>1440</v>
      </c>
      <c r="AB18" s="1014">
        <f t="shared" si="11"/>
        <v>121</v>
      </c>
      <c r="AC18" s="1014">
        <f t="shared" si="11"/>
        <v>1561</v>
      </c>
      <c r="AD18" s="1014">
        <f t="shared" si="11"/>
        <v>0</v>
      </c>
      <c r="AE18" s="1018">
        <f t="shared" si="11"/>
        <v>0</v>
      </c>
      <c r="AF18" s="1011">
        <f t="shared" si="11"/>
        <v>0</v>
      </c>
      <c r="AG18" s="1019">
        <f t="shared" si="11"/>
        <v>0</v>
      </c>
      <c r="AH18" s="1016">
        <f t="shared" si="11"/>
        <v>0</v>
      </c>
      <c r="AI18" s="1011">
        <f t="shared" si="11"/>
        <v>212</v>
      </c>
      <c r="AJ18" s="1013">
        <f t="shared" si="11"/>
        <v>0</v>
      </c>
      <c r="AK18" s="1016">
        <f t="shared" si="11"/>
        <v>0</v>
      </c>
      <c r="AL18" s="1020">
        <f>IF(ISNUMBER(NºAsuntos!G18/NºAsuntos!E18),NºAsuntos!G18/NºAsuntos!E18," - ")</f>
        <v>0.88653555219364599</v>
      </c>
      <c r="AM18" s="1020">
        <f>IF(ISNUMBER(((NºAsuntos!I18/NºAsuntos!G18)*11)/factor_trimestre),((NºAsuntos!I18/NºAsuntos!G18)*11)/factor_trimestre," - ")</f>
        <v>2.4573378839590441</v>
      </c>
      <c r="AN18" s="1021">
        <f>IF(ISNUMBER('Resol  Asuntos'!D18/NºAsuntos!G18),'Resol  Asuntos'!D18/NºAsuntos!G18," - ")</f>
        <v>0.12059158134243458</v>
      </c>
      <c r="AO18" s="1022">
        <f>IF(ISNUMBER((NºAsuntos!C18+NºAsuntos!E18)/NºAsuntos!G18),(NºAsuntos!C18+NºAsuntos!E18)/NºAsuntos!G18," - ")</f>
        <v>1.816268486916951</v>
      </c>
      <c r="AP18" s="1023" t="str">
        <f t="shared" si="2"/>
        <v xml:space="preserve"> - </v>
      </c>
      <c r="AQ18" s="1023">
        <f>IF(ISNUMBER((H18-W18+K18)/(F18)),(H18-W18+K18)/(F18)," - ")</f>
        <v>-1.6158088235294117</v>
      </c>
      <c r="AR18" s="1024">
        <f>IF(ISNUMBER((Datos!P18-Datos!Q18)/(Datos!R18-Datos!P18+Datos!Q18)),(Datos!P18-Datos!Q18)/(Datos!R18-Datos!P18+Datos!Q18)," - ")</f>
        <v>5.2173913043478258E-2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1140</v>
      </c>
      <c r="G19" s="967">
        <f t="shared" si="13"/>
        <v>1262</v>
      </c>
      <c r="H19" s="966">
        <f t="shared" si="13"/>
        <v>0</v>
      </c>
      <c r="I19" s="968">
        <f t="shared" si="13"/>
        <v>0</v>
      </c>
      <c r="J19" s="968">
        <f t="shared" si="13"/>
        <v>0</v>
      </c>
      <c r="K19" s="1027">
        <f t="shared" si="13"/>
        <v>0</v>
      </c>
      <c r="L19" s="968">
        <f t="shared" si="13"/>
        <v>385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1779</v>
      </c>
      <c r="X19" s="967">
        <f t="shared" si="14"/>
        <v>301</v>
      </c>
      <c r="Y19" s="974">
        <f t="shared" si="14"/>
        <v>2041</v>
      </c>
      <c r="Z19" s="974">
        <f t="shared" si="14"/>
        <v>0</v>
      </c>
      <c r="AA19" s="974">
        <f t="shared" si="14"/>
        <v>1520</v>
      </c>
      <c r="AB19" s="974">
        <f t="shared" si="14"/>
        <v>3367</v>
      </c>
      <c r="AC19" s="974">
        <f t="shared" si="14"/>
        <v>1656</v>
      </c>
      <c r="AD19" s="974">
        <f t="shared" si="14"/>
        <v>0</v>
      </c>
      <c r="AE19" s="976">
        <f t="shared" si="14"/>
        <v>0</v>
      </c>
      <c r="AF19" s="977">
        <f t="shared" si="14"/>
        <v>0</v>
      </c>
      <c r="AG19" s="978">
        <f t="shared" si="14"/>
        <v>0</v>
      </c>
      <c r="AH19" s="976">
        <f t="shared" si="14"/>
        <v>0</v>
      </c>
      <c r="AI19" s="966">
        <f t="shared" si="14"/>
        <v>615</v>
      </c>
      <c r="AJ19" s="966">
        <f t="shared" si="14"/>
        <v>0</v>
      </c>
      <c r="AK19" s="976">
        <f t="shared" si="14"/>
        <v>0</v>
      </c>
      <c r="AL19" s="1030">
        <f>IF(ISNUMBER(NºAsuntos!G19/NºAsuntos!E19),NºAsuntos!G19/NºAsuntos!E19," - ")</f>
        <v>0.86437565582371456</v>
      </c>
      <c r="AM19" s="1031">
        <f>IF(ISNUMBER(((NºAsuntos!I19/NºAsuntos!G19)*11)/factor_trimestre),((NºAsuntos!I19/NºAsuntos!G19)*11)/factor_trimestre," - ")</f>
        <v>4.1198786039453719</v>
      </c>
      <c r="AN19" s="1031">
        <f>IF(ISNUMBER('Resol  Asuntos'!D19/NºAsuntos!G19),'Resol  Asuntos'!D19/NºAsuntos!G19," - ")</f>
        <v>0.18664643399089528</v>
      </c>
      <c r="AO19" s="1032">
        <f>IF(ISNUMBER((NºAsuntos!C19+NºAsuntos!E19)/NºAsuntos!G19),(NºAsuntos!C19+NºAsuntos!E19)/NºAsuntos!G19," - ")</f>
        <v>2.3717754172989376</v>
      </c>
      <c r="AP19" s="1033" t="str">
        <f t="shared" si="2"/>
        <v xml:space="preserve"> - </v>
      </c>
      <c r="AQ19" s="1034">
        <f>IF(OR(ISNUMBER(FIND("01",Criterios!A8,1)),ISNUMBER(FIND("02",Criterios!A8,1)),ISNUMBER(FIND("03",Criterios!A8,1)),ISNUMBER(FIND("04",Criterios!A8,1))),(I19-W19+K19)/(F19-K19),(H19-W19+K19)/(F19-K19))</f>
        <v>-1.5605263157894738</v>
      </c>
      <c r="AR19" s="1035">
        <f>IF(ISNUMBER((Datos!P19-Datos!Q19)/(Datos!R19-Datos!P19+Datos!Q19)),(Datos!P19-Datos!Q19)/(Datos!R19-Datos!P19+Datos!Q19)," - ")</f>
        <v>2.5586353944562899E-2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504.8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2.3333333333333335</v>
      </c>
      <c r="F21" s="256">
        <f>IF(ISNUMBER(STDEV(F8:F18)),STDEV(F8:F18),"-")</f>
        <v>598.13487888045222</v>
      </c>
      <c r="G21" s="257">
        <f>IF(ISNUMBER(STDEV(G8:G18)),STDEV(G8:G18),"-")</f>
        <v>588.30493793610128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789.59122335547784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163.48700254148645</v>
      </c>
      <c r="AJ21" s="256">
        <f t="shared" si="18"/>
        <v>0</v>
      </c>
      <c r="AK21" s="258">
        <f t="shared" si="18"/>
        <v>0</v>
      </c>
      <c r="AL21" s="253">
        <f t="shared" si="18"/>
        <v>0.19249187149130309</v>
      </c>
      <c r="AM21" s="254">
        <f t="shared" si="18"/>
        <v>3.7528650018829746</v>
      </c>
      <c r="AN21" s="254">
        <f t="shared" si="18"/>
        <v>0.12054679031378519</v>
      </c>
      <c r="AO21" s="255">
        <f t="shared" si="18"/>
        <v>1.2517376516020973</v>
      </c>
      <c r="AP21" s="295" t="str">
        <f t="shared" si="18"/>
        <v>-</v>
      </c>
      <c r="AQ21" s="296">
        <f t="shared" si="18"/>
        <v>0.8569870222779834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f+ZsGP2Nkv8ZS60KCAM6krkJDLbmuiTsRi6ZEpvA7uVgPHLPcUKk7EpTjwhOEnBPeyRW+/oa123VbF2xN+4FA==" saltValue="goZD435qo1LdJgtcX6A2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CACERES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0.8571428571428571</v>
      </c>
      <c r="E10" s="357">
        <f>IF(ISNUMBER((Datos!J10-Datos!T10)/Datos!T10),(Datos!J10-Datos!T10)/Datos!T10," - ")</f>
        <v>1.0416666666666667</v>
      </c>
      <c r="F10" s="357">
        <f>IF(ISNUMBER((Datos!K10-Datos!U10)/Datos!U10),(Datos!K10-Datos!U10)/Datos!U10," - ")</f>
        <v>0.16666666666666666</v>
      </c>
      <c r="G10" s="358">
        <f>IF(ISNUMBER((Datos!L10-Datos!V10)/Datos!V10),(Datos!L10-Datos!V10)/Datos!V10," - ")</f>
        <v>1.3529411764705883</v>
      </c>
      <c r="H10" s="234">
        <f>IF(ISNUMBER((Datos!M10-Datos!W10)/Datos!W10),(Datos!M10-Datos!W10)/Datos!W10," - ")</f>
        <v>0.5</v>
      </c>
      <c r="I10" s="359">
        <f>IF(ISNUMBER((Tasas!C10-Datos!BE10)/Datos!BE10),(Tasas!C10-Datos!BE10)/Datos!BE10," - ")</f>
        <v>1.0168067226890756</v>
      </c>
      <c r="J10" s="358">
        <f>IF(ISNUMBER((Tasas!D10-Datos!BF10)/Datos!BF10),(Tasas!D10-Datos!BF10)/Datos!BF10," - ")</f>
        <v>0.2857142857142857</v>
      </c>
      <c r="K10" s="360">
        <f>IF(ISNUMBER((Tasas!E10-Datos!BG10)/Datos!BG10),(Tasas!E10-Datos!BG10)/Datos!BG10," - ")</f>
        <v>0.6648351648351648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66.166666666666671</v>
      </c>
      <c r="I13" s="366">
        <f>IF(ISNUMBER((Tasas!C13-Datos!BE13)/Datos!BE13),(Tasas!C13-Datos!BE13)/Datos!BE13," - ")</f>
        <v>6.2612422978300025E-2</v>
      </c>
      <c r="J13" s="364">
        <f>IF(ISNUMBER((Tasas!D13-Datos!BF13)/Datos!BF13),(Tasas!D13-Datos!BF13)/Datos!BF13," - ")</f>
        <v>-0.21340273259596615</v>
      </c>
      <c r="K13" s="367">
        <f>IF(ISNUMBER((Tasas!E13-Datos!BG13)/Datos!BG13),(Tasas!E13-Datos!BG13)/Datos!BG13," - ")</f>
        <v>4.0938891947350016E-2</v>
      </c>
      <c r="M13" t="e">
        <f>IF(Monitorios="SI",Datos!CE13,0)</f>
        <v>#REF!</v>
      </c>
      <c r="N13" t="e">
        <f>IF(Monitorios="SI",Datos!CF13,0)</f>
        <v>#REF!</v>
      </c>
      <c r="O13" t="e">
        <f>IF(Monitorios="SI",Datos!CG13,0)</f>
        <v>#REF!</v>
      </c>
      <c r="P13" t="e">
        <f>IF(Monitorios="SI",Datos!CH13,0)</f>
        <v>#REF!</v>
      </c>
      <c r="Q13">
        <f>IF(J_V="SI",0,Datos!AG13)</f>
        <v>0</v>
      </c>
      <c r="R13">
        <f>IF(J_V="SI",0,Datos!AH13)</f>
        <v>0</v>
      </c>
      <c r="S13">
        <f>IF(J_V="SI",0,Datos!AI13)</f>
        <v>0</v>
      </c>
      <c r="T13">
        <f>IF(J_V="SI",0,Datos!AJ13)</f>
        <v>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0.28282828282828282</v>
      </c>
      <c r="E17" s="357">
        <f>IF(ISNUMBER(
   IF(D_I="SI",(Datos!J17-Datos!T17)/Datos!T17,(Datos!J17+Datos!AD17-(Datos!T17+Datos!AL17))/(Datos!T17+Datos!AL17))
     ),IF(D_I="SI",(Datos!J17-Datos!T17)/Datos!T17,(Datos!J17+Datos!AD17-(Datos!T17+Datos!AL17))/(Datos!T17+Datos!AL17))," - ")</f>
        <v>1.2238805970149254</v>
      </c>
      <c r="F17" s="357">
        <f>IF(ISNUMBER(
   IF(D_I="SI",(Datos!K17-Datos!U17)/Datos!U17,(Datos!K17+Datos!AE17-(Datos!U17+Datos!AM17))/(Datos!U17+Datos!AM17))
     ),IF(D_I="SI",(Datos!K17-Datos!U17)/Datos!U17,(Datos!K17+Datos!AE17-(Datos!U17+Datos!AM17))/(Datos!U17+Datos!AM17))," - ")</f>
        <v>1.4606741573033708</v>
      </c>
      <c r="G17" s="358">
        <f>IF(ISNUMBER(
   IF(D_I="SI",(Datos!L17-Datos!V17)/Datos!V17,(Datos!L17+Datos!AF17-(Datos!V17+Datos!AN17))/(Datos!V17+Datos!AN17))
     ),IF(D_I="SI",(Datos!L17-Datos!V17)/Datos!V17,(Datos!L17+Datos!AF17-(Datos!V17+Datos!AN17))/(Datos!V17+Datos!AN17))," - ")</f>
        <v>0.11475409836065574</v>
      </c>
      <c r="H17" s="234">
        <f>IF(ISNUMBER((Datos!M17-Datos!W17)/Datos!W17),(Datos!M17-Datos!W17)/Datos!W17," - ")</f>
        <v>1.6666666666666667</v>
      </c>
      <c r="I17" s="359">
        <f>IF(ISNUMBER((Tasas!C17-Datos!BE17)/Datos!BE17),(Tasas!C17-Datos!BE17)/Datos!BE17," - ")</f>
        <v>-0.54697207874840936</v>
      </c>
      <c r="J17" s="358">
        <f>IF(ISNUMBER((Tasas!D17-Datos!BF17)/Datos!BF17),(Tasas!D17-Datos!BF17)/Datos!BF17," - ")</f>
        <v>8.3713850837138393E-2</v>
      </c>
      <c r="K17" s="360">
        <f>IF(ISNUMBER((Tasas!E17-Datos!BG17)/Datos!BG17),(Tasas!E17-Datos!BG17)/Datos!BG17," - ")</f>
        <v>-0.22243531202435307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11.222222222222221</v>
      </c>
      <c r="E18" s="363">
        <f>IF(ISNUMBER(
   IF(D_I="SI",(Datos!J18-Datos!T18)/Datos!T18,(Datos!J18+Datos!AD18-(Datos!T18+Datos!AL18))/(Datos!T18+Datos!AL18))
     ),IF(D_I="SI",(Datos!J18-Datos!T18)/Datos!T18,(Datos!J18+Datos!AD18-(Datos!T18+Datos!AL18))/(Datos!T18+Datos!AL18))," - ")</f>
        <v>8.8656716417910442</v>
      </c>
      <c r="F18" s="363">
        <f>IF(ISNUMBER(
   IF(D_I="SI",(Datos!K18-Datos!U18)/Datos!U18,(Datos!K18+Datos!AE18-(Datos!U18+Datos!AM18))/(Datos!U18+Datos!AM18))
     ),IF(D_I="SI",(Datos!K18-Datos!U18)/Datos!U18,(Datos!K18+Datos!AE18-(Datos!U18+Datos!AM18))/(Datos!U18+Datos!AM18))," - ")</f>
        <v>8.8764044943820224</v>
      </c>
      <c r="G18" s="364">
        <f>IF(ISNUMBER(
   IF(D_I="SI",(Datos!L18-Datos!V18)/Datos!V18,(Datos!L18+Datos!AF18-(Datos!V18+Datos!AN18))/(Datos!V18+Datos!AN18))
     ),IF(D_I="SI",(Datos!L18-Datos!V18)/Datos!V18,(Datos!L18+Datos!AF18-(Datos!V18+Datos!AN18))/(Datos!V18+Datos!AN18))," - ")</f>
        <v>10.803278688524591</v>
      </c>
      <c r="H18" s="365">
        <f>IF(ISNUMBER((Datos!M18-Datos!W18)/Datos!W18),(Datos!M18-Datos!W18)/Datos!W18," - ")</f>
        <v>5.4242424242424239</v>
      </c>
      <c r="I18" s="366">
        <f>IF(ISNUMBER((Tasas!C18-Datos!BE18)/Datos!BE18),(Tasas!C18-Datos!BE18)/Datos!BE18," - ")</f>
        <v>0.19509875230795048</v>
      </c>
      <c r="J18" s="364">
        <f>IF(ISNUMBER((Tasas!D18-Datos!BF18)/Datos!BF18),(Tasas!D18-Datos!BF18)/Datos!BF18," - ")</f>
        <v>-0.34953631881959529</v>
      </c>
      <c r="K18" s="367">
        <f>IF(ISNUMBER((Tasas!E18-Datos!BG18)/Datos!BG18),(Tasas!E18-Datos!BG18)/Datos!BG18," - ")</f>
        <v>7.7652635570724313E-2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30.519685039370078</v>
      </c>
      <c r="E19" s="372">
        <f>IF(ISNUMBER(
   IF(J_V="SI",(Datos!J19-Datos!T19)/Datos!T19,(Datos!J19+Datos!Z19-(Datos!T19+Datos!AH19))/(Datos!T19+Datos!AH19))
     ),IF(J_V="SI",(Datos!J19-Datos!T19)/Datos!T19,(Datos!J19+Datos!Z19-(Datos!T19+Datos!AH19))/(Datos!T19+Datos!AH19))," - ")</f>
        <v>15.942222222222222</v>
      </c>
      <c r="F19" s="372">
        <f>IF(ISNUMBER(
   IF(J_V="SI",(Datos!K19-Datos!U19)/Datos!U19,(Datos!K19+Datos!AA19-(Datos!U19+Datos!AI19))/(Datos!U19+Datos!AI19))
     ),IF(J_V="SI",(Datos!K19-Datos!U19)/Datos!U19,(Datos!K19+Datos!AA19-(Datos!U19+Datos!AI19))/(Datos!U19+Datos!AI19))," - ")</f>
        <v>15.811224489795919</v>
      </c>
      <c r="G19" s="373">
        <f>IF(ISNUMBER(
   IF(J_V="SI",(Datos!L19-Datos!V19)/Datos!V19,(Datos!L19+Datos!AB19-(Datos!V19+Datos!AJ19))/(Datos!V19+Datos!AJ19))
     ),IF(J_V="SI",(Datos!L19-Datos!V19)/Datos!V19,(Datos!L19+Datos!AB19-(Datos!V19+Datos!AJ19))/(Datos!V19+Datos!AJ19))," - ")</f>
        <v>28.006410256410255</v>
      </c>
      <c r="H19" s="374">
        <f>IF(ISNUMBER((Datos!M19-Datos!W19)/Datos!W19),(Datos!M19-Datos!W19)/Datos!W19," - ")</f>
        <v>14.76923076923077</v>
      </c>
      <c r="I19" s="371">
        <f>IF(ISNUMBER((Tasas!C19-Datos!BE19)/Datos!BE19),(Tasas!C19-Datos!BE19)/Datos!BE19," - ")</f>
        <v>0.72541924438737793</v>
      </c>
      <c r="J19" s="372">
        <f>IF(ISNUMBER((Tasas!D19-Datos!BF19)/Datos!BF19),(Tasas!D19-Datos!BF19)/Datos!BF19," - ")</f>
        <v>-6.1982024045757034E-2</v>
      </c>
      <c r="K19" s="373">
        <f>IF(ISNUMBER((Tasas!E19-Datos!BG19)/Datos!BG19),(Tasas!E19-Datos!BG19)/Datos!BG19," - ")</f>
        <v>0.3206476755414539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6.1567719793724285</v>
      </c>
      <c r="E21" s="282">
        <f t="shared" si="1"/>
        <v>4.4655202410470318</v>
      </c>
      <c r="F21" s="282">
        <f t="shared" si="1"/>
        <v>4.6997702930680267</v>
      </c>
      <c r="G21" s="283">
        <f t="shared" si="1"/>
        <v>5.8464596729797726</v>
      </c>
      <c r="H21" s="289">
        <f t="shared" si="1"/>
        <v>31.887473852198216</v>
      </c>
      <c r="I21" s="281">
        <f t="shared" si="1"/>
        <v>0.64361672733875441</v>
      </c>
      <c r="J21" s="282">
        <f t="shared" si="1"/>
        <v>0.28693518884566804</v>
      </c>
      <c r="K21" s="283">
        <f t="shared" si="1"/>
        <v>0.37439344586539858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5G1vKSqWuFsz+kvu2Jm/5Qn8PEoV30jjSm1jF+ezAVjyPc23MiUZVzg7a3BxkoiAf6wxpceDS0xMRvLYmWfPw==" saltValue="8fzU3shBeNx76r9zOnOx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